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UserData\Syav\Рабочий стол\проекты\проекты 2023\закон изменения в 253-ОЗ\пакет\15.05.2023 после минфина\"/>
    </mc:Choice>
  </mc:AlternateContent>
  <bookViews>
    <workbookView xWindow="6990" yWindow="-225" windowWidth="8400" windowHeight="8460"/>
  </bookViews>
  <sheets>
    <sheet name="Лист1" sheetId="18" r:id="rId1"/>
    <sheet name="2019 по данным Эк пр" sheetId="12" state="hidden" r:id="rId2"/>
  </sheets>
  <calcPr calcId="152511" iterate="1"/>
</workbook>
</file>

<file path=xl/calcChain.xml><?xml version="1.0" encoding="utf-8"?>
<calcChain xmlns="http://schemas.openxmlformats.org/spreadsheetml/2006/main">
  <c r="N9" i="18" l="1"/>
  <c r="AF7" i="18" l="1"/>
  <c r="AD8" i="18"/>
  <c r="AD7" i="18"/>
  <c r="AE7" i="18"/>
  <c r="Z8" i="18" l="1"/>
  <c r="AH8" i="18" s="1"/>
  <c r="Z7" i="18"/>
  <c r="AH7" i="18" s="1"/>
  <c r="O7" i="18" l="1"/>
  <c r="O8" i="18"/>
  <c r="N7" i="18"/>
  <c r="Q7" i="18"/>
  <c r="F7" i="18"/>
  <c r="V8" i="18"/>
  <c r="Y8" i="18" s="1"/>
  <c r="V9" i="18"/>
  <c r="AF9" i="18" s="1"/>
  <c r="V7" i="18"/>
  <c r="AI7" i="18" s="1"/>
  <c r="AJ7" i="18" s="1"/>
  <c r="AL7" i="18" s="1"/>
  <c r="Y7" i="18" l="1"/>
  <c r="AA7" i="18"/>
  <c r="AB7" i="18" s="1"/>
  <c r="AF8" i="18"/>
  <c r="AI8" i="18" s="1"/>
  <c r="AJ8" i="18" s="1"/>
  <c r="AL8" i="18" s="1"/>
  <c r="AA8" i="18"/>
  <c r="N8" i="18" l="1"/>
  <c r="P8" i="18" l="1"/>
  <c r="P7" i="18"/>
  <c r="F8" i="18"/>
  <c r="F9" i="18"/>
  <c r="E8" i="18"/>
  <c r="E9" i="18"/>
  <c r="E7" i="18"/>
  <c r="AB8" i="18"/>
  <c r="AE8" i="18" s="1"/>
  <c r="S8" i="18" l="1"/>
  <c r="S9" i="18"/>
  <c r="S7" i="18"/>
  <c r="I7" i="18"/>
  <c r="I8" i="18"/>
  <c r="I9" i="18"/>
  <c r="Q8" i="18" l="1"/>
  <c r="U8" i="18" s="1"/>
  <c r="Q9" i="18"/>
  <c r="U9" i="18" s="1"/>
  <c r="G8" i="18"/>
  <c r="K8" i="18" s="1"/>
  <c r="G9" i="18"/>
  <c r="K9" i="18" s="1"/>
  <c r="U7" i="18"/>
  <c r="G7" i="18"/>
  <c r="K7" i="18" s="1"/>
  <c r="Y9" i="18" l="1"/>
  <c r="P9" i="18" l="1"/>
  <c r="O9" i="18"/>
  <c r="Z9" i="18"/>
  <c r="AA9" i="18" l="1"/>
  <c r="AH9" i="18"/>
  <c r="AI9" i="18" s="1"/>
  <c r="AJ9" i="18" s="1"/>
  <c r="AL9" i="18" s="1"/>
  <c r="AB9" i="18" l="1"/>
  <c r="AE9" i="18" s="1"/>
  <c r="AD9" i="18"/>
  <c r="AD14" i="12" l="1"/>
  <c r="AC14" i="12"/>
  <c r="AX26" i="12"/>
  <c r="AW26" i="12"/>
  <c r="AV26" i="12"/>
  <c r="AU26" i="12"/>
  <c r="AT26" i="12"/>
  <c r="AS26" i="12"/>
  <c r="AR26" i="12"/>
  <c r="AQ26" i="12"/>
  <c r="AQ30" i="12" s="1"/>
  <c r="AP26" i="12"/>
  <c r="AO26" i="12"/>
  <c r="AN26" i="12"/>
  <c r="AM26" i="12"/>
  <c r="S26" i="12"/>
  <c r="AD25" i="12"/>
  <c r="AC25" i="12"/>
  <c r="AB25" i="12"/>
  <c r="AA25" i="12"/>
  <c r="Z25" i="12"/>
  <c r="Y25" i="12"/>
  <c r="X25" i="12"/>
  <c r="W25" i="12"/>
  <c r="V25" i="12"/>
  <c r="U25" i="12"/>
  <c r="T25" i="12"/>
  <c r="AY23" i="12"/>
  <c r="AG23" i="12"/>
  <c r="AJ23" i="12" s="1"/>
  <c r="Q23" i="12"/>
  <c r="AD22" i="12"/>
  <c r="AC22" i="12"/>
  <c r="AB22" i="12"/>
  <c r="AA22" i="12"/>
  <c r="Z22" i="12"/>
  <c r="Y22" i="12"/>
  <c r="X22" i="12"/>
  <c r="W22" i="12"/>
  <c r="V22" i="12"/>
  <c r="U22" i="12"/>
  <c r="T22" i="12"/>
  <c r="AY20" i="12"/>
  <c r="AG20" i="12"/>
  <c r="AJ20" i="12" s="1"/>
  <c r="Q20" i="12"/>
  <c r="Z19" i="12"/>
  <c r="AY18" i="12"/>
  <c r="AL18" i="12"/>
  <c r="AG18" i="12"/>
  <c r="AE18" i="12"/>
  <c r="R18" i="12"/>
  <c r="K18" i="12"/>
  <c r="AY16" i="12"/>
  <c r="Q16" i="12"/>
  <c r="AY15" i="12"/>
  <c r="AD15" i="12"/>
  <c r="AC15" i="12"/>
  <c r="AC16" i="12" s="1"/>
  <c r="AB15" i="12"/>
  <c r="Y15" i="12"/>
  <c r="Q15" i="12"/>
  <c r="AY14" i="12"/>
  <c r="AH14" i="12"/>
  <c r="AH26" i="12" s="1"/>
  <c r="AF14" i="12"/>
  <c r="AF26" i="12" s="1"/>
  <c r="AC19" i="12"/>
  <c r="AB14" i="12"/>
  <c r="AB26" i="12" s="1"/>
  <c r="AA14" i="12"/>
  <c r="AA19" i="12" s="1"/>
  <c r="Z14" i="12"/>
  <c r="Y14" i="12"/>
  <c r="Y19" i="12" s="1"/>
  <c r="X14" i="12"/>
  <c r="X26" i="12" s="1"/>
  <c r="W14" i="12"/>
  <c r="W19" i="12" s="1"/>
  <c r="V14" i="12"/>
  <c r="U14" i="12"/>
  <c r="U19" i="12" s="1"/>
  <c r="T14" i="12"/>
  <c r="P14" i="12"/>
  <c r="P18" i="12" s="1"/>
  <c r="O14" i="12"/>
  <c r="O26" i="12" s="1"/>
  <c r="N14" i="12"/>
  <c r="N18" i="12" s="1"/>
  <c r="M14" i="12"/>
  <c r="M26" i="12" s="1"/>
  <c r="L14" i="12"/>
  <c r="L18" i="12" s="1"/>
  <c r="K14" i="12"/>
  <c r="K26" i="12" s="1"/>
  <c r="J14" i="12"/>
  <c r="J18" i="12" s="1"/>
  <c r="I14" i="12"/>
  <c r="I26" i="12" s="1"/>
  <c r="H14" i="12"/>
  <c r="H18" i="12" s="1"/>
  <c r="G14" i="12"/>
  <c r="G26" i="12" s="1"/>
  <c r="F14" i="12"/>
  <c r="F18" i="12" s="1"/>
  <c r="E14" i="12"/>
  <c r="E26" i="12" s="1"/>
  <c r="BA13" i="12"/>
  <c r="AY13" i="12"/>
  <c r="AI13" i="12"/>
  <c r="AG13" i="12"/>
  <c r="AJ13" i="12" s="1"/>
  <c r="Q13" i="12"/>
  <c r="BA12" i="12"/>
  <c r="AY12" i="12"/>
  <c r="AI12" i="12"/>
  <c r="AG12" i="12"/>
  <c r="AJ12" i="12" s="1"/>
  <c r="Q12" i="12"/>
  <c r="BA11" i="12"/>
  <c r="AY11" i="12"/>
  <c r="AI11" i="12"/>
  <c r="AG11" i="12"/>
  <c r="AJ11" i="12" s="1"/>
  <c r="AE11" i="12"/>
  <c r="Q11" i="12"/>
  <c r="BA10" i="12"/>
  <c r="AY10" i="12"/>
  <c r="AI10" i="12"/>
  <c r="AG10" i="12"/>
  <c r="AJ10" i="12" s="1"/>
  <c r="Q10" i="12"/>
  <c r="BA9" i="12"/>
  <c r="AY9" i="12"/>
  <c r="AI9" i="12"/>
  <c r="AG9" i="12"/>
  <c r="AJ9" i="12" s="1"/>
  <c r="Q9" i="12"/>
  <c r="AY8" i="12"/>
  <c r="AJ8" i="12"/>
  <c r="AI8" i="12"/>
  <c r="AG8" i="12"/>
  <c r="Q8" i="12"/>
  <c r="AD7" i="12"/>
  <c r="AC7" i="12"/>
  <c r="AB7" i="12"/>
  <c r="AA7" i="12"/>
  <c r="Z7" i="12"/>
  <c r="Y7" i="12"/>
  <c r="X7" i="12"/>
  <c r="W7" i="12"/>
  <c r="V7" i="12"/>
  <c r="U7" i="12"/>
  <c r="T7" i="12"/>
  <c r="AE6" i="12"/>
  <c r="AC5" i="12"/>
  <c r="AB5" i="12"/>
  <c r="AA5" i="12"/>
  <c r="Z5" i="12"/>
  <c r="Y5" i="12"/>
  <c r="X5" i="12"/>
  <c r="W5" i="12"/>
  <c r="V5" i="12"/>
  <c r="U5" i="12"/>
  <c r="AY4" i="12"/>
  <c r="AI4" i="12"/>
  <c r="AG4" i="12"/>
  <c r="Q4" i="12"/>
  <c r="AY3" i="12"/>
  <c r="AZ3" i="12" s="1"/>
  <c r="AI3" i="12"/>
  <c r="AG3" i="12"/>
  <c r="AJ3" i="12" s="1"/>
  <c r="Q3" i="12"/>
  <c r="V17" i="12" l="1"/>
  <c r="Z17" i="12"/>
  <c r="G18" i="12"/>
  <c r="V19" i="12"/>
  <c r="AA26" i="12"/>
  <c r="AE5" i="12"/>
  <c r="AZ8" i="12"/>
  <c r="BA8" i="12" s="1"/>
  <c r="T26" i="12"/>
  <c r="AE14" i="12"/>
  <c r="O18" i="12"/>
  <c r="Q14" i="12"/>
  <c r="W26" i="12"/>
  <c r="AE7" i="12"/>
  <c r="AZ23" i="12"/>
  <c r="BA23" i="12" s="1"/>
  <c r="AI14" i="12"/>
  <c r="AI18" i="12" s="1"/>
  <c r="AI26" i="12"/>
  <c r="AZ20" i="12"/>
  <c r="BA20" i="12" s="1"/>
  <c r="BA3" i="12"/>
  <c r="Q26" i="12"/>
  <c r="Q18" i="12"/>
  <c r="U17" i="12"/>
  <c r="AC17" i="12"/>
  <c r="J26" i="12"/>
  <c r="N26" i="12"/>
  <c r="AJ4" i="12"/>
  <c r="AZ4" i="12" s="1"/>
  <c r="BA4" i="12" s="1"/>
  <c r="Z15" i="12"/>
  <c r="Y16" i="12"/>
  <c r="W17" i="12"/>
  <c r="AA17" i="12"/>
  <c r="E18" i="12"/>
  <c r="I18" i="12"/>
  <c r="M18" i="12"/>
  <c r="T19" i="12"/>
  <c r="X19" i="12"/>
  <c r="AB19" i="12"/>
  <c r="H26" i="12"/>
  <c r="L26" i="12"/>
  <c r="P26" i="12"/>
  <c r="U26" i="12"/>
  <c r="Y26" i="12"/>
  <c r="AC26" i="12"/>
  <c r="AY26" i="12"/>
  <c r="Y17" i="12"/>
  <c r="F26" i="12"/>
  <c r="AE26" i="12"/>
  <c r="AA15" i="12"/>
  <c r="AE15" i="12" s="1"/>
  <c r="AB16" i="12"/>
  <c r="X17" i="12"/>
  <c r="AB17" i="12"/>
  <c r="AH18" i="12"/>
  <c r="AJ18" i="12" s="1"/>
  <c r="AZ18" i="12" s="1"/>
  <c r="BA18" i="12" s="1"/>
  <c r="V26" i="12"/>
  <c r="Z26" i="12"/>
  <c r="AF18" i="12"/>
  <c r="AG15" i="12" l="1"/>
  <c r="AJ15" i="12" s="1"/>
  <c r="AZ15" i="12" s="1"/>
  <c r="BA15" i="12" s="1"/>
  <c r="AD17" i="12"/>
  <c r="AD26" i="12"/>
  <c r="AD16" i="12"/>
  <c r="AD19" i="12"/>
  <c r="AG14" i="12"/>
  <c r="AG16" i="12"/>
  <c r="AJ16" i="12" s="1"/>
  <c r="AZ16" i="12" s="1"/>
  <c r="BA16" i="12" s="1"/>
  <c r="AE16" i="12"/>
  <c r="AJ14" i="12" l="1"/>
  <c r="AG26" i="12"/>
  <c r="AZ14" i="12" l="1"/>
  <c r="AJ26" i="12"/>
  <c r="BA14" i="12" l="1"/>
  <c r="AZ26" i="12"/>
  <c r="BA26" i="12" s="1"/>
</calcChain>
</file>

<file path=xl/sharedStrings.xml><?xml version="1.0" encoding="utf-8"?>
<sst xmlns="http://schemas.openxmlformats.org/spreadsheetml/2006/main" count="161" uniqueCount="94">
  <si>
    <t>учетная классифик категории</t>
  </si>
  <si>
    <t xml:space="preserve">кбк </t>
  </si>
  <si>
    <t>январь</t>
  </si>
  <si>
    <t xml:space="preserve">февраль 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</si>
  <si>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</si>
  <si>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</si>
  <si>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</si>
  <si>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</si>
  <si>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</si>
  <si>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</si>
  <si>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</si>
  <si>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</si>
  <si>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</si>
  <si>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всего:</t>
  </si>
  <si>
    <t xml:space="preserve">декабрь </t>
  </si>
  <si>
    <t>фактически профинансированно</t>
  </si>
  <si>
    <t>ИТОГО</t>
  </si>
  <si>
    <t>ИТОГО обучающиеся</t>
  </si>
  <si>
    <t>потери в доходах</t>
  </si>
  <si>
    <t>областной</t>
  </si>
  <si>
    <t>федеральный</t>
  </si>
  <si>
    <t>мероприятия</t>
  </si>
  <si>
    <t>50.78.08</t>
  </si>
  <si>
    <t>50.78.09</t>
  </si>
  <si>
    <t>50.78.11</t>
  </si>
  <si>
    <t>50.78.06</t>
  </si>
  <si>
    <t>50.78.10</t>
  </si>
  <si>
    <t>50.78.13</t>
  </si>
  <si>
    <t>наименование категории (размер льготы по 373-ПА)</t>
  </si>
  <si>
    <r>
      <t xml:space="preserve">ветераны труда                     </t>
    </r>
    <r>
      <rPr>
        <sz val="11"/>
        <rFont val="Times New Roman"/>
        <family val="1"/>
        <charset val="204"/>
      </rPr>
      <t>50% сезон 21.04-21.10</t>
    </r>
  </si>
  <si>
    <r>
      <t xml:space="preserve">труженики тыла    </t>
    </r>
    <r>
      <rPr>
        <sz val="11"/>
        <rFont val="Times New Roman"/>
        <family val="1"/>
        <charset val="204"/>
      </rPr>
      <t xml:space="preserve"> 50%</t>
    </r>
  </si>
  <si>
    <r>
      <t xml:space="preserve">школьники                         </t>
    </r>
    <r>
      <rPr>
        <sz val="11"/>
        <rFont val="Times New Roman"/>
        <family val="1"/>
        <charset val="204"/>
      </rPr>
      <t>50% с 01.09 по 15.06</t>
    </r>
  </si>
  <si>
    <r>
      <t xml:space="preserve">школьники сельской местности </t>
    </r>
    <r>
      <rPr>
        <sz val="11"/>
        <rFont val="Times New Roman"/>
        <family val="1"/>
        <charset val="204"/>
      </rPr>
      <t>100% с 01.09 по 15.06</t>
    </r>
  </si>
  <si>
    <r>
      <t xml:space="preserve">дети-сироты </t>
    </r>
    <r>
      <rPr>
        <sz val="11"/>
        <rFont val="Times New Roman"/>
        <family val="1"/>
        <charset val="204"/>
      </rPr>
      <t>100%  в течении года</t>
    </r>
  </si>
  <si>
    <r>
      <t xml:space="preserve">реабилитированные </t>
    </r>
    <r>
      <rPr>
        <sz val="11"/>
        <rFont val="Times New Roman"/>
        <family val="1"/>
        <charset val="204"/>
      </rPr>
      <t>100%</t>
    </r>
  </si>
  <si>
    <r>
      <t xml:space="preserve">заслуженные            </t>
    </r>
    <r>
      <rPr>
        <sz val="11"/>
        <rFont val="Times New Roman"/>
        <family val="1"/>
        <charset val="204"/>
      </rPr>
      <t>100%</t>
    </r>
  </si>
  <si>
    <t>Х</t>
  </si>
  <si>
    <r>
      <t>студенты</t>
    </r>
    <r>
      <rPr>
        <sz val="11"/>
        <rFont val="Times New Roman"/>
        <family val="1"/>
        <charset val="204"/>
      </rPr>
      <t xml:space="preserve"> 50% с 01.09.по 30.06 (с 16 по 30 июня только ОБ) </t>
    </r>
  </si>
  <si>
    <t>176-1003-2000004040-810-242</t>
  </si>
  <si>
    <r>
      <t>студенты</t>
    </r>
    <r>
      <rPr>
        <sz val="11"/>
        <rFont val="Times New Roman"/>
        <family val="1"/>
        <charset val="204"/>
      </rPr>
      <t xml:space="preserve"> 50% с 01.09.по  до 15 июня) </t>
    </r>
    <r>
      <rPr>
        <sz val="11"/>
        <color indexed="10"/>
        <rFont val="Times New Roman"/>
        <family val="1"/>
        <charset val="204"/>
      </rPr>
      <t>дополнительно до 2012 года только ФБ</t>
    </r>
  </si>
  <si>
    <t>среднее за 11 месяцев</t>
  </si>
  <si>
    <t>Факт за декабрь(отчет в январе)</t>
  </si>
  <si>
    <t>всего за текущий год ян-ноябрь:</t>
  </si>
  <si>
    <t>всего  2018 год:</t>
  </si>
  <si>
    <t>за декабрь в январе</t>
  </si>
  <si>
    <t xml:space="preserve">результат финансирования к реестрам </t>
  </si>
  <si>
    <t>ожид декабрь по \заявле \экспр-пр</t>
  </si>
  <si>
    <t>факт декабрь</t>
  </si>
  <si>
    <t>количество перевезенных пассажиров 2019 г</t>
  </si>
  <si>
    <t>суммы, подлежащие возмещению, согласно представленных  реестров 2019 год</t>
  </si>
  <si>
    <t xml:space="preserve"> (остаток 2018 года)</t>
  </si>
  <si>
    <t>ИТОГО по реестрам 2019 с учетом остатка прошлого года и ожид декабрь</t>
  </si>
  <si>
    <t>ИТОГО по реестрам 2019 года с учетом факт декабря</t>
  </si>
  <si>
    <t>на 01.01.2019+ перепрата        - недофинансировано</t>
  </si>
  <si>
    <t xml:space="preserve"> остаток 2018 года</t>
  </si>
  <si>
    <t xml:space="preserve">  в январе за декабрь 2018</t>
  </si>
  <si>
    <t xml:space="preserve">результат финансирования 2019 год к реестрам с учетом остатка 2018 года </t>
  </si>
  <si>
    <r>
      <t xml:space="preserve">ветераны труда НСО         </t>
    </r>
    <r>
      <rPr>
        <sz val="11"/>
        <rFont val="Times New Roman"/>
        <family val="1"/>
        <charset val="204"/>
      </rPr>
      <t xml:space="preserve">50% сезон 21.04-21.10 </t>
    </r>
    <r>
      <rPr>
        <sz val="11"/>
        <color rgb="FFFF0000"/>
        <rFont val="Times New Roman"/>
        <family val="1"/>
        <charset val="204"/>
      </rPr>
      <t>постан 447</t>
    </r>
  </si>
  <si>
    <t>2018 год ИТОГО обучающиеся</t>
  </si>
  <si>
    <t>2019/2018</t>
  </si>
  <si>
    <t>507809 2019/2018</t>
  </si>
  <si>
    <t>2018 год</t>
  </si>
  <si>
    <t xml:space="preserve">ожидаемый ноябрь </t>
  </si>
  <si>
    <t>количество перевезенных пассажиров 2021 г</t>
  </si>
  <si>
    <t>количество перевезенных пассажиров 2022 г</t>
  </si>
  <si>
    <t>Остаток финансирования 2021, рублей</t>
  </si>
  <si>
    <t>Остаток финансирования 2022, рублей</t>
  </si>
  <si>
    <r>
      <t xml:space="preserve">ветераны труда                     </t>
    </r>
    <r>
      <rPr>
        <sz val="10"/>
        <rFont val="Times New Roman"/>
        <family val="1"/>
        <charset val="204"/>
      </rPr>
      <t xml:space="preserve">50% </t>
    </r>
  </si>
  <si>
    <t xml:space="preserve">планируемое количество перевезенных пассажиров </t>
  </si>
  <si>
    <t>рост количества перевезенных пассажиров к уровню 2021 года, %</t>
  </si>
  <si>
    <t>январь-апрель 2021</t>
  </si>
  <si>
    <t>доля 4 мес к 12 мес, %</t>
  </si>
  <si>
    <t>средняя стоимость 1 поездки</t>
  </si>
  <si>
    <t>Плановый объем фнансирования 2023 год, рублей</t>
  </si>
  <si>
    <t>доля поездок за 4 мес к 12 мес, %</t>
  </si>
  <si>
    <t>январь-апрель 2023</t>
  </si>
  <si>
    <t>факт 2022 года</t>
  </si>
  <si>
    <t>факт 2021 года</t>
  </si>
  <si>
    <t>план в бюджете на 2023 год</t>
  </si>
  <si>
    <t>план в бюджете на 2022 год</t>
  </si>
  <si>
    <t>план в бюджете на 2021 год</t>
  </si>
  <si>
    <t>потребность в случае 100% оплаты</t>
  </si>
  <si>
    <r>
      <t xml:space="preserve">труженики тыла    
</t>
    </r>
    <r>
      <rPr>
        <sz val="10"/>
        <rFont val="Times New Roman"/>
        <family val="1"/>
        <charset val="204"/>
      </rPr>
      <t>50%</t>
    </r>
  </si>
  <si>
    <t>рост количества перевезенных пассажиров к уровню 2023 года, %</t>
  </si>
  <si>
    <t>рост количества перевезенных пассажиров к уровню 2022 года, %</t>
  </si>
  <si>
    <t>план в бюджете на 2024 год</t>
  </si>
  <si>
    <t>январь-апрель 2022</t>
  </si>
  <si>
    <t>справочно потребность в случае 100%</t>
  </si>
  <si>
    <t>справочно потребность в случае 100% оплаты</t>
  </si>
  <si>
    <t>потребность в случае 50% оплаты</t>
  </si>
  <si>
    <t>Плановый объем фнансирования 2024 год, рублей</t>
  </si>
  <si>
    <t>Расчет потребности бюджетных ассигнований в рамках реализации мер социальной поддержки на возмещение недополученных доходов перевозчиков, возникающих в случае перевозки ветеранов труда РФ, тружеников тыла, ветеранов труда Новосибирской области железнодорожным транспортом в пригородном сообщении, для которых законодательством установлены меры социальной поддержки</t>
  </si>
  <si>
    <r>
      <t xml:space="preserve">ветераны труда НСО         </t>
    </r>
    <r>
      <rPr>
        <sz val="10"/>
        <rFont val="Times New Roman"/>
        <family val="1"/>
        <charset val="204"/>
      </rPr>
      <t>50% постан 447</t>
    </r>
  </si>
  <si>
    <t>Приложение 2 к финансово-экономическому обоснованию к проекту Закона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</si>
</sst>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0"/>
      <name val="Arial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188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/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/>
    <xf numFmtId="49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3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/>
    <xf numFmtId="3" fontId="5" fillId="0" borderId="1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3" fontId="5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4" fontId="6" fillId="3" borderId="1" xfId="1" applyNumberForma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4" fontId="8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3" fontId="1" fillId="0" borderId="0" xfId="0" applyNumberFormat="1" applyFont="1" applyFill="1"/>
    <xf numFmtId="4" fontId="1" fillId="2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/>
    <xf numFmtId="0" fontId="3" fillId="5" borderId="1" xfId="0" applyFont="1" applyFill="1" applyBorder="1" applyAlignment="1">
      <alignment wrapText="1"/>
    </xf>
    <xf numFmtId="49" fontId="1" fillId="5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1" fillId="5" borderId="2" xfId="0" applyNumberFormat="1" applyFont="1" applyFill="1" applyBorder="1" applyAlignment="1">
      <alignment horizontal="center"/>
    </xf>
    <xf numFmtId="4" fontId="5" fillId="5" borderId="1" xfId="0" applyNumberFormat="1" applyFont="1" applyFill="1" applyBorder="1" applyAlignment="1">
      <alignment horizontal="center"/>
    </xf>
    <xf numFmtId="0" fontId="1" fillId="5" borderId="0" xfId="0" applyFont="1" applyFill="1"/>
    <xf numFmtId="4" fontId="1" fillId="6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/>
    </xf>
    <xf numFmtId="4" fontId="1" fillId="5" borderId="0" xfId="0" applyNumberFormat="1" applyFont="1" applyFill="1" applyBorder="1" applyAlignment="1">
      <alignment horizontal="center"/>
    </xf>
    <xf numFmtId="4" fontId="1" fillId="5" borderId="0" xfId="0" applyNumberFormat="1" applyFont="1" applyFill="1"/>
    <xf numFmtId="4" fontId="8" fillId="0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wrapText="1"/>
    </xf>
    <xf numFmtId="4" fontId="5" fillId="7" borderId="1" xfId="0" applyNumberFormat="1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horizontal="center"/>
    </xf>
    <xf numFmtId="4" fontId="1" fillId="2" borderId="0" xfId="0" applyNumberFormat="1" applyFont="1" applyFill="1"/>
    <xf numFmtId="4" fontId="3" fillId="2" borderId="0" xfId="0" applyNumberFormat="1" applyFont="1" applyFill="1"/>
    <xf numFmtId="4" fontId="3" fillId="0" borderId="0" xfId="0" applyNumberFormat="1" applyFont="1" applyFill="1"/>
    <xf numFmtId="4" fontId="8" fillId="2" borderId="1" xfId="0" applyNumberFormat="1" applyFont="1" applyFill="1" applyBorder="1" applyAlignment="1">
      <alignment horizontal="center"/>
    </xf>
    <xf numFmtId="4" fontId="8" fillId="0" borderId="0" xfId="0" applyNumberFormat="1" applyFont="1" applyFill="1" applyAlignment="1">
      <alignment horizontal="center"/>
    </xf>
    <xf numFmtId="0" fontId="8" fillId="0" borderId="0" xfId="0" applyFont="1" applyFill="1"/>
    <xf numFmtId="4" fontId="11" fillId="0" borderId="2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4" fontId="11" fillId="5" borderId="1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" fontId="12" fillId="0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/>
    <xf numFmtId="3" fontId="5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0" fontId="3" fillId="4" borderId="1" xfId="0" applyFont="1" applyFill="1" applyBorder="1"/>
    <xf numFmtId="0" fontId="3" fillId="4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/>
    </xf>
    <xf numFmtId="4" fontId="8" fillId="6" borderId="1" xfId="0" applyNumberFormat="1" applyFont="1" applyFill="1" applyBorder="1" applyAlignment="1">
      <alignment horizontal="center"/>
    </xf>
    <xf numFmtId="4" fontId="8" fillId="8" borderId="2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/>
    </xf>
    <xf numFmtId="4" fontId="1" fillId="8" borderId="2" xfId="0" applyNumberFormat="1" applyFont="1" applyFill="1" applyBorder="1" applyAlignment="1">
      <alignment horizontal="center"/>
    </xf>
    <xf numFmtId="4" fontId="10" fillId="8" borderId="2" xfId="0" applyNumberFormat="1" applyFont="1" applyFill="1" applyBorder="1" applyAlignment="1">
      <alignment horizontal="center"/>
    </xf>
    <xf numFmtId="4" fontId="8" fillId="8" borderId="1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49" fontId="1" fillId="4" borderId="7" xfId="0" applyNumberFormat="1" applyFont="1" applyFill="1" applyBorder="1" applyAlignment="1">
      <alignment horizontal="center" vertical="center"/>
    </xf>
    <xf numFmtId="49" fontId="3" fillId="4" borderId="7" xfId="0" applyNumberFormat="1" applyFont="1" applyFill="1" applyBorder="1" applyAlignment="1">
      <alignment horizontal="center" vertical="center"/>
    </xf>
    <xf numFmtId="4" fontId="3" fillId="4" borderId="0" xfId="0" applyNumberFormat="1" applyFont="1" applyFill="1"/>
    <xf numFmtId="49" fontId="1" fillId="6" borderId="1" xfId="0" applyNumberFormat="1" applyFont="1" applyFill="1" applyBorder="1"/>
    <xf numFmtId="0" fontId="3" fillId="6" borderId="1" xfId="0" applyFont="1" applyFill="1" applyBorder="1"/>
    <xf numFmtId="0" fontId="3" fillId="6" borderId="1" xfId="0" applyFont="1" applyFill="1" applyBorder="1" applyAlignment="1">
      <alignment horizontal="center" wrapText="1"/>
    </xf>
    <xf numFmtId="3" fontId="3" fillId="6" borderId="1" xfId="0" applyNumberFormat="1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4" fontId="5" fillId="6" borderId="1" xfId="0" applyNumberFormat="1" applyFont="1" applyFill="1" applyBorder="1" applyAlignment="1">
      <alignment horizontal="center"/>
    </xf>
    <xf numFmtId="0" fontId="3" fillId="6" borderId="0" xfId="0" applyFont="1" applyFill="1"/>
    <xf numFmtId="4" fontId="3" fillId="6" borderId="0" xfId="0" applyNumberFormat="1" applyFont="1" applyFill="1"/>
    <xf numFmtId="4" fontId="12" fillId="8" borderId="2" xfId="0" applyNumberFormat="1" applyFont="1" applyFill="1" applyBorder="1" applyAlignment="1">
      <alignment horizontal="center"/>
    </xf>
    <xf numFmtId="3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5" fillId="0" borderId="0" xfId="0" applyFont="1"/>
    <xf numFmtId="0" fontId="14" fillId="0" borderId="11" xfId="0" applyFont="1" applyFill="1" applyBorder="1" applyAlignment="1">
      <alignment horizontal="center" vertical="center" wrapText="1"/>
    </xf>
    <xf numFmtId="3" fontId="17" fillId="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wrapText="1"/>
    </xf>
    <xf numFmtId="0" fontId="14" fillId="0" borderId="1" xfId="0" applyFont="1" applyFill="1" applyBorder="1" applyAlignment="1">
      <alignment vertical="center" wrapText="1"/>
    </xf>
    <xf numFmtId="3" fontId="17" fillId="0" borderId="11" xfId="0" applyNumberFormat="1" applyFont="1" applyFill="1" applyBorder="1" applyAlignment="1">
      <alignment horizontal="center" vertical="center"/>
    </xf>
    <xf numFmtId="3" fontId="17" fillId="0" borderId="13" xfId="0" applyNumberFormat="1" applyFont="1" applyFill="1" applyBorder="1" applyAlignment="1">
      <alignment horizontal="center" vertical="center"/>
    </xf>
    <xf numFmtId="9" fontId="14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5" borderId="2" xfId="0" applyNumberFormat="1" applyFont="1" applyFill="1" applyBorder="1" applyAlignment="1">
      <alignment horizontal="center" vertical="center"/>
    </xf>
    <xf numFmtId="3" fontId="17" fillId="0" borderId="6" xfId="0" applyNumberFormat="1" applyFont="1" applyFill="1" applyBorder="1" applyAlignment="1">
      <alignment horizontal="center" vertical="center"/>
    </xf>
    <xf numFmtId="3" fontId="17" fillId="0" borderId="14" xfId="0" applyNumberFormat="1" applyFont="1" applyFill="1" applyBorder="1" applyAlignment="1">
      <alignment horizontal="center" vertical="center"/>
    </xf>
    <xf numFmtId="164" fontId="17" fillId="0" borderId="6" xfId="0" applyNumberFormat="1" applyFont="1" applyFill="1" applyBorder="1" applyAlignment="1">
      <alignment horizontal="center" vertical="center"/>
    </xf>
    <xf numFmtId="3" fontId="17" fillId="0" borderId="19" xfId="0" applyNumberFormat="1" applyFont="1" applyFill="1" applyBorder="1" applyAlignment="1">
      <alignment horizontal="center" vertical="center"/>
    </xf>
    <xf numFmtId="164" fontId="17" fillId="0" borderId="19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4" fontId="16" fillId="0" borderId="20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0" xfId="0" applyFont="1" applyFill="1" applyAlignment="1">
      <alignment wrapText="1"/>
    </xf>
    <xf numFmtId="0" fontId="15" fillId="0" borderId="11" xfId="0" applyFont="1" applyFill="1" applyBorder="1"/>
    <xf numFmtId="4" fontId="16" fillId="0" borderId="12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3" fontId="16" fillId="0" borderId="13" xfId="0" applyNumberFormat="1" applyFont="1" applyFill="1" applyBorder="1" applyAlignment="1">
      <alignment horizontal="center" vertical="center"/>
    </xf>
    <xf numFmtId="3" fontId="16" fillId="0" borderId="19" xfId="0" applyNumberFormat="1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 vertical="center"/>
    </xf>
    <xf numFmtId="4" fontId="16" fillId="0" borderId="15" xfId="0" applyNumberFormat="1" applyFont="1" applyFill="1" applyBorder="1" applyAlignment="1">
      <alignment horizontal="center" vertical="center"/>
    </xf>
    <xf numFmtId="165" fontId="16" fillId="0" borderId="14" xfId="0" applyNumberFormat="1" applyFont="1" applyFill="1" applyBorder="1" applyAlignment="1">
      <alignment horizontal="center" vertical="center"/>
    </xf>
    <xf numFmtId="164" fontId="16" fillId="0" borderId="14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"/>
  <sheetViews>
    <sheetView tabSelected="1" topLeftCell="T1" workbookViewId="0">
      <selection activeCell="AA22" sqref="AA22"/>
    </sheetView>
  </sheetViews>
  <sheetFormatPr defaultRowHeight="12.75" x14ac:dyDescent="0.2"/>
  <cols>
    <col min="1" max="1" width="19" customWidth="1"/>
    <col min="2" max="2" width="9" customWidth="1"/>
    <col min="3" max="3" width="13" customWidth="1"/>
    <col min="4" max="4" width="10.140625" customWidth="1"/>
    <col min="5" max="5" width="9.5703125" customWidth="1"/>
    <col min="6" max="6" width="9.28515625" customWidth="1"/>
    <col min="7" max="7" width="10.42578125" customWidth="1"/>
    <col min="8" max="8" width="10.85546875" customWidth="1"/>
    <col min="9" max="9" width="11" customWidth="1"/>
    <col min="10" max="10" width="14.28515625" customWidth="1"/>
    <col min="11" max="12" width="13.42578125" customWidth="1"/>
    <col min="13" max="13" width="11.140625" customWidth="1"/>
    <col min="14" max="14" width="10.85546875" customWidth="1"/>
    <col min="15" max="15" width="11.5703125" customWidth="1"/>
    <col min="16" max="16" width="9.85546875" customWidth="1"/>
    <col min="17" max="17" width="12.5703125" customWidth="1"/>
    <col min="18" max="18" width="13.5703125" customWidth="1"/>
    <col min="19" max="19" width="13.28515625" customWidth="1"/>
    <col min="20" max="20" width="13" customWidth="1"/>
    <col min="21" max="24" width="13.28515625" customWidth="1"/>
    <col min="25" max="25" width="12.5703125" customWidth="1"/>
    <col min="26" max="26" width="11" customWidth="1"/>
    <col min="27" max="28" width="13.28515625" customWidth="1"/>
    <col min="29" max="30" width="13.7109375" customWidth="1"/>
    <col min="31" max="31" width="13.85546875" customWidth="1"/>
    <col min="32" max="34" width="13" customWidth="1"/>
    <col min="35" max="35" width="13.85546875" customWidth="1"/>
    <col min="36" max="36" width="13.140625" customWidth="1"/>
    <col min="37" max="38" width="15.7109375" customWidth="1"/>
    <col min="39" max="39" width="12.42578125" customWidth="1"/>
  </cols>
  <sheetData>
    <row r="1" spans="1:38" ht="65.25" customHeight="1" x14ac:dyDescent="0.2"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87" t="s">
        <v>93</v>
      </c>
      <c r="AK1" s="177"/>
      <c r="AL1" s="177"/>
    </row>
    <row r="2" spans="1:38" ht="40.5" customHeight="1" x14ac:dyDescent="0.3">
      <c r="A2" s="149"/>
      <c r="B2" s="150"/>
      <c r="C2" s="154"/>
      <c r="D2" s="154"/>
      <c r="E2" s="154"/>
      <c r="F2" s="154"/>
      <c r="G2" s="154"/>
      <c r="H2" s="154"/>
      <c r="I2" s="154"/>
      <c r="J2" s="154"/>
      <c r="K2" s="169" t="s">
        <v>91</v>
      </c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54"/>
      <c r="AG2" s="154"/>
      <c r="AH2" s="154"/>
      <c r="AI2" s="154"/>
      <c r="AJ2" s="168"/>
      <c r="AK2" s="168"/>
      <c r="AL2" s="168"/>
    </row>
    <row r="3" spans="1:38" ht="13.5" thickBot="1" x14ac:dyDescent="0.25"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</row>
    <row r="4" spans="1:38" x14ac:dyDescent="0.2">
      <c r="C4" s="171">
        <v>2021</v>
      </c>
      <c r="D4" s="172"/>
      <c r="E4" s="172"/>
      <c r="F4" s="172"/>
      <c r="G4" s="172"/>
      <c r="H4" s="172"/>
      <c r="I4" s="172"/>
      <c r="J4" s="172"/>
      <c r="K4" s="173"/>
      <c r="L4" s="171">
        <v>2022</v>
      </c>
      <c r="M4" s="172"/>
      <c r="N4" s="172"/>
      <c r="O4" s="172"/>
      <c r="P4" s="172"/>
      <c r="Q4" s="172"/>
      <c r="R4" s="172"/>
      <c r="S4" s="172"/>
      <c r="T4" s="172"/>
      <c r="U4" s="172"/>
      <c r="V4" s="171">
        <v>2023</v>
      </c>
      <c r="W4" s="172"/>
      <c r="X4" s="172"/>
      <c r="Y4" s="172"/>
      <c r="Z4" s="172"/>
      <c r="AA4" s="172"/>
      <c r="AB4" s="172"/>
      <c r="AC4" s="172"/>
      <c r="AD4" s="172"/>
      <c r="AE4" s="173"/>
      <c r="AF4" s="171">
        <v>2024</v>
      </c>
      <c r="AG4" s="172"/>
      <c r="AH4" s="172"/>
      <c r="AI4" s="172"/>
      <c r="AJ4" s="172"/>
      <c r="AK4" s="172"/>
      <c r="AL4" s="173"/>
    </row>
    <row r="5" spans="1:38" s="129" customFormat="1" ht="90" customHeight="1" x14ac:dyDescent="0.2">
      <c r="A5" s="127" t="s">
        <v>28</v>
      </c>
      <c r="B5" s="148" t="s">
        <v>21</v>
      </c>
      <c r="C5" s="130" t="s">
        <v>63</v>
      </c>
      <c r="D5" s="152" t="s">
        <v>70</v>
      </c>
      <c r="E5" s="152" t="s">
        <v>74</v>
      </c>
      <c r="F5" s="152" t="s">
        <v>72</v>
      </c>
      <c r="G5" s="127" t="s">
        <v>80</v>
      </c>
      <c r="H5" s="127" t="s">
        <v>77</v>
      </c>
      <c r="I5" s="127"/>
      <c r="J5" s="127" t="s">
        <v>65</v>
      </c>
      <c r="K5" s="128"/>
      <c r="L5" s="130" t="s">
        <v>64</v>
      </c>
      <c r="M5" s="152" t="s">
        <v>86</v>
      </c>
      <c r="N5" s="152" t="s">
        <v>71</v>
      </c>
      <c r="O5" s="127" t="s">
        <v>69</v>
      </c>
      <c r="P5" s="152" t="s">
        <v>72</v>
      </c>
      <c r="Q5" s="127" t="s">
        <v>79</v>
      </c>
      <c r="R5" s="127" t="s">
        <v>76</v>
      </c>
      <c r="S5" s="127"/>
      <c r="T5" s="127" t="s">
        <v>66</v>
      </c>
      <c r="U5" s="151"/>
      <c r="V5" s="130" t="s">
        <v>68</v>
      </c>
      <c r="W5" s="127" t="s">
        <v>75</v>
      </c>
      <c r="X5" s="127" t="s">
        <v>71</v>
      </c>
      <c r="Y5" s="127" t="s">
        <v>84</v>
      </c>
      <c r="Z5" s="152" t="s">
        <v>72</v>
      </c>
      <c r="AA5" s="127" t="s">
        <v>73</v>
      </c>
      <c r="AB5" s="127"/>
      <c r="AC5" s="127" t="s">
        <v>78</v>
      </c>
      <c r="AD5" s="151"/>
      <c r="AE5" s="128"/>
      <c r="AF5" s="130" t="s">
        <v>68</v>
      </c>
      <c r="AG5" s="127" t="s">
        <v>83</v>
      </c>
      <c r="AH5" s="152" t="s">
        <v>72</v>
      </c>
      <c r="AI5" s="166" t="s">
        <v>90</v>
      </c>
      <c r="AJ5" s="167"/>
      <c r="AK5" s="127" t="s">
        <v>85</v>
      </c>
      <c r="AL5" s="128"/>
    </row>
    <row r="6" spans="1:38" s="129" customFormat="1" ht="48.75" customHeight="1" x14ac:dyDescent="0.2">
      <c r="A6" s="127"/>
      <c r="B6" s="138"/>
      <c r="C6" s="130"/>
      <c r="D6" s="152"/>
      <c r="E6" s="152"/>
      <c r="F6" s="152"/>
      <c r="G6" s="127"/>
      <c r="H6" s="136">
        <v>0.5</v>
      </c>
      <c r="I6" s="136">
        <v>1</v>
      </c>
      <c r="J6" s="127"/>
      <c r="K6" s="128" t="s">
        <v>87</v>
      </c>
      <c r="L6" s="130"/>
      <c r="M6" s="152"/>
      <c r="N6" s="152"/>
      <c r="O6" s="127"/>
      <c r="P6" s="127"/>
      <c r="Q6" s="127"/>
      <c r="R6" s="136">
        <v>0.5</v>
      </c>
      <c r="S6" s="136">
        <v>1</v>
      </c>
      <c r="T6" s="127"/>
      <c r="U6" s="151" t="s">
        <v>88</v>
      </c>
      <c r="V6" s="130"/>
      <c r="W6" s="127"/>
      <c r="X6" s="127"/>
      <c r="Y6" s="127"/>
      <c r="Z6" s="127"/>
      <c r="AA6" s="136">
        <v>0.5</v>
      </c>
      <c r="AB6" s="136">
        <v>1</v>
      </c>
      <c r="AC6" s="127"/>
      <c r="AD6" s="128" t="s">
        <v>89</v>
      </c>
      <c r="AE6" s="128" t="s">
        <v>81</v>
      </c>
      <c r="AF6" s="155"/>
      <c r="AG6" s="127"/>
      <c r="AH6" s="152"/>
      <c r="AI6" s="136">
        <v>0.5</v>
      </c>
      <c r="AJ6" s="136">
        <v>1</v>
      </c>
      <c r="AK6" s="127"/>
      <c r="AL6" s="128" t="s">
        <v>81</v>
      </c>
    </row>
    <row r="7" spans="1:38" s="129" customFormat="1" ht="25.5" x14ac:dyDescent="0.2">
      <c r="A7" s="133" t="s">
        <v>67</v>
      </c>
      <c r="B7" s="139" t="s">
        <v>22</v>
      </c>
      <c r="C7" s="134">
        <v>342520</v>
      </c>
      <c r="D7" s="141">
        <v>12111</v>
      </c>
      <c r="E7" s="143">
        <f>D7/C7*100</f>
        <v>3.5358519210557047</v>
      </c>
      <c r="F7" s="143">
        <f>H7/C7</f>
        <v>24.121899451126943</v>
      </c>
      <c r="G7" s="131">
        <f>H7+J7</f>
        <v>11868754.91</v>
      </c>
      <c r="H7" s="137">
        <v>8262233</v>
      </c>
      <c r="I7" s="137">
        <f>H7*2</f>
        <v>16524466</v>
      </c>
      <c r="J7" s="137">
        <v>3606521.91</v>
      </c>
      <c r="K7" s="156">
        <f>I7-G7</f>
        <v>4655711.09</v>
      </c>
      <c r="L7" s="134">
        <v>334124</v>
      </c>
      <c r="M7" s="141">
        <v>11723</v>
      </c>
      <c r="N7" s="143">
        <f>M7/L7*100</f>
        <v>3.5085776538051743</v>
      </c>
      <c r="O7" s="131">
        <f>L7/C7*100</f>
        <v>97.548756277005722</v>
      </c>
      <c r="P7" s="131">
        <f>R7/L7</f>
        <v>25.345983826363867</v>
      </c>
      <c r="Q7" s="137">
        <f>R7+T7</f>
        <v>19099900</v>
      </c>
      <c r="R7" s="137">
        <v>8468701.5</v>
      </c>
      <c r="S7" s="137">
        <f>R7*2</f>
        <v>16937403</v>
      </c>
      <c r="T7" s="137">
        <v>10631198.5</v>
      </c>
      <c r="U7" s="146">
        <f>S7-Q7</f>
        <v>-2162497</v>
      </c>
      <c r="V7" s="157">
        <f>W7*100/X7</f>
        <v>312228.57142857142</v>
      </c>
      <c r="W7" s="137">
        <v>10928</v>
      </c>
      <c r="X7" s="158">
        <v>3.5</v>
      </c>
      <c r="Y7" s="158">
        <f>V7/L7*100</f>
        <v>93.446915345372204</v>
      </c>
      <c r="Z7" s="158">
        <f>(R7/L7)*8.6%+(R7/L7)</f>
        <v>27.525738435431158</v>
      </c>
      <c r="AA7" s="159">
        <f>V7*Z7</f>
        <v>8594321.9892111905</v>
      </c>
      <c r="AB7" s="137">
        <f>AA7*2</f>
        <v>17188643.978422381</v>
      </c>
      <c r="AC7" s="137">
        <v>23558796</v>
      </c>
      <c r="AD7" s="146">
        <f>AA7-AC7</f>
        <v>-14964474.01078881</v>
      </c>
      <c r="AE7" s="156">
        <f>AB7-AC7</f>
        <v>-6370152.021577619</v>
      </c>
      <c r="AF7" s="157">
        <f>V7/100*AG7</f>
        <v>281005.71428571426</v>
      </c>
      <c r="AG7" s="131">
        <v>90</v>
      </c>
      <c r="AH7" s="141">
        <f>Z7*8.6%+27.8</f>
        <v>30.16721350544708</v>
      </c>
      <c r="AI7" s="137">
        <f>AF7*AH7</f>
        <v>8477159.3791078031</v>
      </c>
      <c r="AJ7" s="137">
        <f>AI7*2</f>
        <v>16954318.758215606</v>
      </c>
      <c r="AK7" s="137">
        <v>23558796</v>
      </c>
      <c r="AL7" s="156">
        <f>AJ7-AK7</f>
        <v>-6604477.2417843938</v>
      </c>
    </row>
    <row r="8" spans="1:38" s="129" customFormat="1" ht="25.5" x14ac:dyDescent="0.2">
      <c r="A8" s="132" t="s">
        <v>92</v>
      </c>
      <c r="B8" s="140" t="s">
        <v>24</v>
      </c>
      <c r="C8" s="134">
        <v>680966</v>
      </c>
      <c r="D8" s="141">
        <v>18630</v>
      </c>
      <c r="E8" s="143">
        <f t="shared" ref="E8:E9" si="0">D8/C8*100</f>
        <v>2.735819409485936</v>
      </c>
      <c r="F8" s="143">
        <f t="shared" ref="F8:F9" si="1">H8/C8</f>
        <v>24.197805764164436</v>
      </c>
      <c r="G8" s="131">
        <f>H8+J8</f>
        <v>20350847.82</v>
      </c>
      <c r="H8" s="137">
        <v>16477883</v>
      </c>
      <c r="I8" s="137">
        <f t="shared" ref="I8:I9" si="2">H8*2</f>
        <v>32955766</v>
      </c>
      <c r="J8" s="137">
        <v>3872964.82</v>
      </c>
      <c r="K8" s="156">
        <f t="shared" ref="K8:K9" si="3">I8-G8</f>
        <v>12604918.18</v>
      </c>
      <c r="L8" s="134">
        <v>721432</v>
      </c>
      <c r="M8" s="141">
        <v>24539</v>
      </c>
      <c r="N8" s="143">
        <f t="shared" ref="N8" si="4">M8/L8*100</f>
        <v>3.4014293793455241</v>
      </c>
      <c r="O8" s="131">
        <f t="shared" ref="O8:O9" si="5">L8/C8*100</f>
        <v>105.9424405917476</v>
      </c>
      <c r="P8" s="131">
        <f t="shared" ref="P8:P9" si="6">R8/L8</f>
        <v>25.404791442575323</v>
      </c>
      <c r="Q8" s="137">
        <f>R8+T8</f>
        <v>25112200</v>
      </c>
      <c r="R8" s="137">
        <v>18327829.5</v>
      </c>
      <c r="S8" s="137">
        <f t="shared" ref="S8:S9" si="7">R8*2</f>
        <v>36655659</v>
      </c>
      <c r="T8" s="137">
        <v>6784370.5</v>
      </c>
      <c r="U8" s="146">
        <f t="shared" ref="U8:U9" si="8">S8-Q8</f>
        <v>11543459</v>
      </c>
      <c r="V8" s="157">
        <f t="shared" ref="V8:V9" si="9">W8*100/X8</f>
        <v>787200</v>
      </c>
      <c r="W8" s="137">
        <v>23616</v>
      </c>
      <c r="X8" s="158">
        <v>3</v>
      </c>
      <c r="Y8" s="158">
        <f t="shared" ref="Y8" si="10">V8/L8*100</f>
        <v>109.11631311059115</v>
      </c>
      <c r="Z8" s="158">
        <f t="shared" ref="Z8:Z9" si="11">(R8/L8)*8.6%+(R8/L8)</f>
        <v>27.589603506636802</v>
      </c>
      <c r="AA8" s="159">
        <f>V8*Z8</f>
        <v>21718535.880424492</v>
      </c>
      <c r="AB8" s="137">
        <f t="shared" ref="AB8:AB9" si="12">AA8*2</f>
        <v>43437071.760848984</v>
      </c>
      <c r="AC8" s="137">
        <v>30711718</v>
      </c>
      <c r="AD8" s="146">
        <f t="shared" ref="AD8:AD9" si="13">AA8-AC8</f>
        <v>-8993182.1195755079</v>
      </c>
      <c r="AE8" s="156">
        <f>AB8-AC8</f>
        <v>12725353.760848984</v>
      </c>
      <c r="AF8" s="157">
        <f t="shared" ref="AF8:AF9" si="14">V8/100*AG8</f>
        <v>881664</v>
      </c>
      <c r="AG8" s="131">
        <v>112</v>
      </c>
      <c r="AH8" s="141">
        <f>Z8*8.6%+27.6</f>
        <v>29.972705901570766</v>
      </c>
      <c r="AI8" s="137">
        <f t="shared" ref="AI8:AI9" si="15">AF8*AH8</f>
        <v>26425855.776002489</v>
      </c>
      <c r="AJ8" s="137">
        <f t="shared" ref="AJ8:AJ9" si="16">AI8*2</f>
        <v>52851711.552004978</v>
      </c>
      <c r="AK8" s="137">
        <v>30711718</v>
      </c>
      <c r="AL8" s="156">
        <f>AJ8-AK8</f>
        <v>22139993.552004978</v>
      </c>
    </row>
    <row r="9" spans="1:38" s="129" customFormat="1" ht="33" customHeight="1" thickBot="1" x14ac:dyDescent="0.25">
      <c r="A9" s="133" t="s">
        <v>82</v>
      </c>
      <c r="B9" s="139" t="s">
        <v>23</v>
      </c>
      <c r="C9" s="160">
        <v>2824</v>
      </c>
      <c r="D9" s="161">
        <v>388</v>
      </c>
      <c r="E9" s="145">
        <f t="shared" si="0"/>
        <v>13.739376770538245</v>
      </c>
      <c r="F9" s="145">
        <f t="shared" si="1"/>
        <v>29.094837110481588</v>
      </c>
      <c r="G9" s="142">
        <f>H9+J9</f>
        <v>176887.27000000002</v>
      </c>
      <c r="H9" s="162">
        <v>82163.820000000007</v>
      </c>
      <c r="I9" s="162">
        <f t="shared" si="2"/>
        <v>164327.64000000001</v>
      </c>
      <c r="J9" s="162">
        <v>94723.45</v>
      </c>
      <c r="K9" s="163">
        <f t="shared" si="3"/>
        <v>-12559.630000000005</v>
      </c>
      <c r="L9" s="135">
        <v>1621</v>
      </c>
      <c r="M9" s="144">
        <v>211</v>
      </c>
      <c r="N9" s="145">
        <f>M9/L9*100</f>
        <v>13.016656384947565</v>
      </c>
      <c r="O9" s="142">
        <f t="shared" si="5"/>
        <v>57.400849858356942</v>
      </c>
      <c r="P9" s="142">
        <f t="shared" si="6"/>
        <v>24.767661937075879</v>
      </c>
      <c r="Q9" s="162">
        <f>R9+T9</f>
        <v>243500</v>
      </c>
      <c r="R9" s="162">
        <v>40148.379999999997</v>
      </c>
      <c r="S9" s="162">
        <f t="shared" si="7"/>
        <v>80296.759999999995</v>
      </c>
      <c r="T9" s="162">
        <v>203351.62</v>
      </c>
      <c r="U9" s="147">
        <f t="shared" si="8"/>
        <v>-163203.24</v>
      </c>
      <c r="V9" s="160">
        <f t="shared" si="9"/>
        <v>900</v>
      </c>
      <c r="W9" s="162">
        <v>117</v>
      </c>
      <c r="X9" s="164">
        <v>13</v>
      </c>
      <c r="Y9" s="164">
        <f>V9/L9*100</f>
        <v>55.521283158544108</v>
      </c>
      <c r="Z9" s="164">
        <f t="shared" si="11"/>
        <v>26.897680863664405</v>
      </c>
      <c r="AA9" s="165">
        <f t="shared" ref="AA9" si="17">V9*Z9</f>
        <v>24207.912777297966</v>
      </c>
      <c r="AB9" s="162">
        <f t="shared" si="12"/>
        <v>48415.825554595933</v>
      </c>
      <c r="AC9" s="162">
        <v>297795</v>
      </c>
      <c r="AD9" s="147">
        <f t="shared" si="13"/>
        <v>-273587.08722270204</v>
      </c>
      <c r="AE9" s="163">
        <f t="shared" ref="AE9" si="18">AB9-AC9</f>
        <v>-249379.17444540406</v>
      </c>
      <c r="AF9" s="160">
        <f t="shared" si="14"/>
        <v>900</v>
      </c>
      <c r="AG9" s="142">
        <v>100</v>
      </c>
      <c r="AH9" s="144">
        <f>Z9*8.6%+26.9</f>
        <v>29.213200554275137</v>
      </c>
      <c r="AI9" s="162">
        <f t="shared" si="15"/>
        <v>26291.880498847622</v>
      </c>
      <c r="AJ9" s="162">
        <f t="shared" si="16"/>
        <v>52583.760997695244</v>
      </c>
      <c r="AK9" s="162">
        <v>297795</v>
      </c>
      <c r="AL9" s="163">
        <f>AJ9-AK9</f>
        <v>-245211.23900230476</v>
      </c>
    </row>
    <row r="10" spans="1:38" ht="21.75" customHeight="1" x14ac:dyDescent="0.25">
      <c r="C10" s="126"/>
      <c r="D10" s="126"/>
      <c r="E10" s="126"/>
      <c r="F10" s="126"/>
      <c r="G10" s="126"/>
    </row>
  </sheetData>
  <mergeCells count="8">
    <mergeCell ref="AJ1:AL1"/>
    <mergeCell ref="AI5:AJ5"/>
    <mergeCell ref="AJ2:AL2"/>
    <mergeCell ref="K2:AE2"/>
    <mergeCell ref="AF4:AL4"/>
    <mergeCell ref="C4:K4"/>
    <mergeCell ref="L4:U4"/>
    <mergeCell ref="V4:AE4"/>
  </mergeCells>
  <pageMargins left="0" right="0" top="0.74803149606299213" bottom="0.74803149606299213" header="0" footer="0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2"/>
  <sheetViews>
    <sheetView zoomScale="60" zoomScaleNormal="60" workbookViewId="0">
      <pane xSplit="4" ySplit="2" topLeftCell="Z3" activePane="bottomRight" state="frozen"/>
      <selection pane="topRight" activeCell="E1" sqref="E1"/>
      <selection pane="bottomLeft" activeCell="A3" sqref="A3"/>
      <selection pane="bottomRight" activeCell="AE4" sqref="AE4"/>
    </sheetView>
  </sheetViews>
  <sheetFormatPr defaultColWidth="9.140625" defaultRowHeight="15" x14ac:dyDescent="0.25"/>
  <cols>
    <col min="1" max="1" width="17.7109375" style="6" customWidth="1"/>
    <col min="2" max="2" width="25" style="6" customWidth="1"/>
    <col min="3" max="3" width="10.140625" style="6" customWidth="1"/>
    <col min="4" max="4" width="8" style="6" customWidth="1"/>
    <col min="5" max="5" width="11.7109375" style="6" customWidth="1"/>
    <col min="6" max="13" width="9.140625" style="6" customWidth="1"/>
    <col min="14" max="14" width="12" style="6" customWidth="1"/>
    <col min="15" max="15" width="13.140625" style="6" customWidth="1"/>
    <col min="16" max="16" width="13.7109375" style="6" customWidth="1"/>
    <col min="17" max="17" width="12.42578125" style="6" customWidth="1"/>
    <col min="18" max="18" width="14.42578125" style="6" customWidth="1"/>
    <col min="19" max="19" width="19.28515625" style="6" customWidth="1"/>
    <col min="20" max="20" width="14.28515625" style="6" customWidth="1"/>
    <col min="21" max="21" width="15.42578125" style="6" customWidth="1"/>
    <col min="22" max="22" width="14.140625" style="6" customWidth="1"/>
    <col min="23" max="23" width="14.28515625" style="6" customWidth="1"/>
    <col min="24" max="24" width="15.140625" style="6" customWidth="1"/>
    <col min="25" max="25" width="13.85546875" style="6" customWidth="1"/>
    <col min="26" max="26" width="13.42578125" style="6" customWidth="1"/>
    <col min="27" max="27" width="12.85546875" style="6" customWidth="1"/>
    <col min="28" max="28" width="16.140625" style="85" customWidth="1"/>
    <col min="29" max="29" width="14.42578125" style="6" customWidth="1"/>
    <col min="30" max="30" width="14.5703125" style="6" customWidth="1"/>
    <col min="31" max="31" width="13.42578125" style="6" customWidth="1"/>
    <col min="32" max="32" width="13.28515625" style="6" customWidth="1"/>
    <col min="33" max="33" width="15.7109375" style="6" customWidth="1"/>
    <col min="34" max="34" width="13.85546875" style="6" customWidth="1"/>
    <col min="35" max="35" width="15.5703125" style="6" customWidth="1"/>
    <col min="36" max="36" width="18.7109375" style="65" customWidth="1"/>
    <col min="37" max="37" width="10.140625" style="6" customWidth="1"/>
    <col min="38" max="38" width="14.7109375" style="6" customWidth="1"/>
    <col min="39" max="39" width="14.28515625" style="6" customWidth="1"/>
    <col min="40" max="40" width="13" style="6" customWidth="1"/>
    <col min="41" max="41" width="12.7109375" style="6" customWidth="1"/>
    <col min="42" max="42" width="13.28515625" style="6" customWidth="1"/>
    <col min="43" max="43" width="14.28515625" style="6" customWidth="1"/>
    <col min="44" max="44" width="14.85546875" style="6" customWidth="1"/>
    <col min="45" max="45" width="13.7109375" style="6" customWidth="1"/>
    <col min="46" max="46" width="14.85546875" style="6" customWidth="1"/>
    <col min="47" max="47" width="13.28515625" style="6" customWidth="1"/>
    <col min="48" max="48" width="17.5703125" style="6" customWidth="1"/>
    <col min="49" max="49" width="15.7109375" style="6" customWidth="1"/>
    <col min="50" max="50" width="14.140625" style="6" customWidth="1"/>
    <col min="51" max="51" width="32.28515625" style="6" customWidth="1"/>
    <col min="52" max="52" width="15.42578125" style="6" customWidth="1"/>
    <col min="53" max="53" width="15.7109375" style="6" customWidth="1"/>
    <col min="54" max="54" width="14.28515625" style="6" customWidth="1"/>
    <col min="55" max="55" width="14.140625" style="28" customWidth="1"/>
    <col min="56" max="16384" width="9.140625" style="6"/>
  </cols>
  <sheetData>
    <row r="1" spans="1:56" s="49" customFormat="1" ht="88.9" customHeight="1" x14ac:dyDescent="0.25">
      <c r="A1" s="46" t="s">
        <v>1</v>
      </c>
      <c r="B1" s="47" t="s">
        <v>28</v>
      </c>
      <c r="C1" s="46" t="s">
        <v>21</v>
      </c>
      <c r="D1" s="47" t="s">
        <v>0</v>
      </c>
      <c r="E1" s="184" t="s">
        <v>48</v>
      </c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  <c r="R1" s="105" t="s">
        <v>54</v>
      </c>
      <c r="S1" s="55"/>
      <c r="T1" s="185" t="s">
        <v>49</v>
      </c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6"/>
      <c r="AJ1" s="70"/>
      <c r="AK1" s="46" t="s">
        <v>21</v>
      </c>
      <c r="AL1" s="48"/>
      <c r="AM1" s="48"/>
      <c r="AN1" s="184" t="s">
        <v>15</v>
      </c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74" t="s">
        <v>45</v>
      </c>
      <c r="BA1" s="174" t="s">
        <v>56</v>
      </c>
      <c r="BC1" s="176"/>
    </row>
    <row r="2" spans="1:56" ht="88.15" customHeight="1" x14ac:dyDescent="0.25">
      <c r="D2" s="7"/>
      <c r="E2" s="8" t="s">
        <v>2</v>
      </c>
      <c r="F2" s="8" t="s">
        <v>3</v>
      </c>
      <c r="G2" s="8" t="s">
        <v>4</v>
      </c>
      <c r="H2" s="8" t="s">
        <v>5</v>
      </c>
      <c r="I2" s="10" t="s">
        <v>6</v>
      </c>
      <c r="J2" s="9" t="s">
        <v>7</v>
      </c>
      <c r="K2" s="9" t="s">
        <v>8</v>
      </c>
      <c r="L2" s="9" t="s">
        <v>9</v>
      </c>
      <c r="M2" s="9" t="s">
        <v>10</v>
      </c>
      <c r="N2" s="9" t="s">
        <v>11</v>
      </c>
      <c r="O2" s="9" t="s">
        <v>12</v>
      </c>
      <c r="P2" s="90" t="s">
        <v>47</v>
      </c>
      <c r="Q2" s="11" t="s">
        <v>13</v>
      </c>
      <c r="R2" s="12" t="s">
        <v>53</v>
      </c>
      <c r="S2" s="12" t="s">
        <v>55</v>
      </c>
      <c r="T2" s="2" t="s">
        <v>2</v>
      </c>
      <c r="U2" s="2" t="s">
        <v>3</v>
      </c>
      <c r="V2" s="2" t="s">
        <v>4</v>
      </c>
      <c r="W2" s="2" t="s">
        <v>5</v>
      </c>
      <c r="X2" s="3" t="s">
        <v>6</v>
      </c>
      <c r="Y2" s="3" t="s">
        <v>7</v>
      </c>
      <c r="Z2" s="3" t="s">
        <v>8</v>
      </c>
      <c r="AA2" s="50" t="s">
        <v>9</v>
      </c>
      <c r="AB2" s="86" t="s">
        <v>10</v>
      </c>
      <c r="AC2" s="3" t="s">
        <v>11</v>
      </c>
      <c r="AD2" s="108" t="s">
        <v>62</v>
      </c>
      <c r="AE2" s="108" t="s">
        <v>40</v>
      </c>
      <c r="AF2" s="91" t="s">
        <v>46</v>
      </c>
      <c r="AG2" s="1" t="s">
        <v>42</v>
      </c>
      <c r="AH2" s="69" t="s">
        <v>41</v>
      </c>
      <c r="AI2" s="4" t="s">
        <v>51</v>
      </c>
      <c r="AJ2" s="71" t="s">
        <v>52</v>
      </c>
      <c r="AL2" s="76" t="s">
        <v>50</v>
      </c>
      <c r="AM2" s="13" t="s">
        <v>44</v>
      </c>
      <c r="AN2" s="14" t="s">
        <v>3</v>
      </c>
      <c r="AO2" s="14" t="s">
        <v>4</v>
      </c>
      <c r="AP2" s="14" t="s">
        <v>5</v>
      </c>
      <c r="AQ2" s="14" t="s">
        <v>6</v>
      </c>
      <c r="AR2" s="14" t="s">
        <v>7</v>
      </c>
      <c r="AS2" s="14" t="s">
        <v>8</v>
      </c>
      <c r="AT2" s="14" t="s">
        <v>9</v>
      </c>
      <c r="AU2" s="14" t="s">
        <v>10</v>
      </c>
      <c r="AV2" s="14" t="s">
        <v>11</v>
      </c>
      <c r="AW2" s="14" t="s">
        <v>12</v>
      </c>
      <c r="AX2" s="14" t="s">
        <v>14</v>
      </c>
      <c r="AY2" s="5" t="s">
        <v>43</v>
      </c>
      <c r="AZ2" s="175"/>
      <c r="BA2" s="175"/>
      <c r="BC2" s="177"/>
    </row>
    <row r="3" spans="1:56" ht="39.75" customHeight="1" x14ac:dyDescent="0.25">
      <c r="A3" s="15" t="s">
        <v>38</v>
      </c>
      <c r="B3" s="5" t="s">
        <v>29</v>
      </c>
      <c r="C3" s="16" t="s">
        <v>22</v>
      </c>
      <c r="D3" s="51">
        <v>55</v>
      </c>
      <c r="E3" s="29"/>
      <c r="F3" s="29"/>
      <c r="G3" s="29"/>
      <c r="H3" s="18">
        <v>19750</v>
      </c>
      <c r="I3" s="18">
        <v>97886</v>
      </c>
      <c r="J3" s="18">
        <v>95488</v>
      </c>
      <c r="K3" s="18">
        <v>94994</v>
      </c>
      <c r="L3" s="18">
        <v>93574</v>
      </c>
      <c r="M3" s="18">
        <v>85360</v>
      </c>
      <c r="N3" s="18">
        <v>43194</v>
      </c>
      <c r="O3" s="18"/>
      <c r="P3" s="18"/>
      <c r="Q3" s="18">
        <f t="shared" ref="Q3:Q13" si="0">E3+F3+G3+H3+I3+J3+K3+L3+M3+N3+O3+P3</f>
        <v>530246</v>
      </c>
      <c r="R3" s="19">
        <v>0</v>
      </c>
      <c r="S3" s="19"/>
      <c r="T3" s="29"/>
      <c r="U3" s="29"/>
      <c r="V3" s="29"/>
      <c r="W3" s="19">
        <v>460470</v>
      </c>
      <c r="X3" s="19">
        <v>2276593.5</v>
      </c>
      <c r="Y3" s="19">
        <v>2226794.5</v>
      </c>
      <c r="Z3" s="19">
        <v>2219530</v>
      </c>
      <c r="AA3" s="19">
        <v>2191096</v>
      </c>
      <c r="AB3" s="87">
        <v>1994208.5</v>
      </c>
      <c r="AC3" s="19">
        <v>1006695.5</v>
      </c>
      <c r="AD3" s="109">
        <v>0</v>
      </c>
      <c r="AE3" s="110">
        <v>0</v>
      </c>
      <c r="AF3" s="20"/>
      <c r="AG3" s="20">
        <f t="shared" ref="AG3:AG23" si="1">SUM(T3:AD3)</f>
        <v>12375388</v>
      </c>
      <c r="AH3" s="20"/>
      <c r="AI3" s="20">
        <f>T3+U3+V3+W3+X3+Y3+Z3+AA3+AB3+AC3+AD3+AF3</f>
        <v>12375388</v>
      </c>
      <c r="AJ3" s="63">
        <f>AG3+AH3</f>
        <v>12375388</v>
      </c>
      <c r="AK3" s="67" t="s">
        <v>22</v>
      </c>
      <c r="AL3" s="77">
        <v>0</v>
      </c>
      <c r="AM3" s="56"/>
      <c r="AN3" s="56"/>
      <c r="AO3" s="56"/>
      <c r="AP3" s="56"/>
      <c r="AQ3" s="19">
        <v>460470</v>
      </c>
      <c r="AR3" s="19">
        <v>2276593.5</v>
      </c>
      <c r="AS3" s="19">
        <v>2226794.5</v>
      </c>
      <c r="AT3" s="19">
        <v>2219530</v>
      </c>
      <c r="AU3" s="19">
        <v>2191096</v>
      </c>
      <c r="AV3" s="19">
        <v>1994208.5</v>
      </c>
      <c r="AW3" s="19"/>
      <c r="AX3" s="19"/>
      <c r="AY3" s="19">
        <f t="shared" ref="AY3:AY23" si="2">AM3+AN3+AO3+AP3+AQ3+AR3+AS3+AT3+AU3+AV3+AW3+AX3</f>
        <v>11368692.5</v>
      </c>
      <c r="AZ3" s="19">
        <f>AY3-AJ3</f>
        <v>-1006695.5</v>
      </c>
      <c r="BA3" s="19">
        <f t="shared" ref="BA3:BA26" si="3">AZ3+AL3</f>
        <v>-1006695.5</v>
      </c>
    </row>
    <row r="4" spans="1:56" ht="38.25" customHeight="1" x14ac:dyDescent="0.25">
      <c r="A4" s="15" t="s">
        <v>38</v>
      </c>
      <c r="B4" s="5" t="s">
        <v>30</v>
      </c>
      <c r="C4" s="67" t="s">
        <v>23</v>
      </c>
      <c r="D4" s="51">
        <v>56</v>
      </c>
      <c r="E4" s="18">
        <v>76</v>
      </c>
      <c r="F4" s="18">
        <v>83</v>
      </c>
      <c r="G4" s="18">
        <v>94</v>
      </c>
      <c r="H4" s="18">
        <v>260</v>
      </c>
      <c r="I4" s="18">
        <v>490</v>
      </c>
      <c r="J4" s="18">
        <v>461</v>
      </c>
      <c r="K4" s="18">
        <v>395</v>
      </c>
      <c r="L4" s="18">
        <v>297</v>
      </c>
      <c r="M4" s="18">
        <v>383</v>
      </c>
      <c r="N4" s="18">
        <v>240</v>
      </c>
      <c r="O4" s="18"/>
      <c r="P4" s="18"/>
      <c r="Q4" s="18">
        <f t="shared" si="0"/>
        <v>2779</v>
      </c>
      <c r="R4" s="19">
        <v>292.99999999999409</v>
      </c>
      <c r="S4" s="19"/>
      <c r="T4" s="19">
        <v>1918.5</v>
      </c>
      <c r="U4" s="19">
        <v>1952.5</v>
      </c>
      <c r="V4" s="19">
        <v>2164.5</v>
      </c>
      <c r="W4" s="19">
        <v>6136</v>
      </c>
      <c r="X4" s="19">
        <v>12493</v>
      </c>
      <c r="Y4" s="19">
        <v>11890.5</v>
      </c>
      <c r="Z4" s="19">
        <v>10256</v>
      </c>
      <c r="AA4" s="19">
        <v>7399</v>
      </c>
      <c r="AB4" s="87">
        <v>9108.5</v>
      </c>
      <c r="AC4" s="19">
        <v>5511.5</v>
      </c>
      <c r="AD4" s="113">
        <v>2522</v>
      </c>
      <c r="AE4" s="125">
        <v>2355.5</v>
      </c>
      <c r="AF4" s="20"/>
      <c r="AG4" s="20">
        <f>SUM(T4:AD4)</f>
        <v>71352</v>
      </c>
      <c r="AH4" s="20"/>
      <c r="AI4" s="20">
        <f t="shared" ref="AI4:AI13" si="4">T4+U4+V4+W4+X4+Y4+Z4+AA4+AB4+AC4+AD4+AF4</f>
        <v>71352</v>
      </c>
      <c r="AJ4" s="63">
        <f t="shared" ref="AJ4:AJ23" si="5">AG4+AH4</f>
        <v>71352</v>
      </c>
      <c r="AK4" s="67" t="s">
        <v>23</v>
      </c>
      <c r="AL4" s="77">
        <v>292.99999999999409</v>
      </c>
      <c r="AM4" s="56"/>
      <c r="AN4" s="96">
        <v>1625.5</v>
      </c>
      <c r="AO4" s="19">
        <v>1952.5</v>
      </c>
      <c r="AP4" s="19">
        <v>2164.5</v>
      </c>
      <c r="AQ4" s="19">
        <v>6136</v>
      </c>
      <c r="AR4" s="19">
        <v>12493</v>
      </c>
      <c r="AS4" s="19">
        <v>11890.5</v>
      </c>
      <c r="AT4" s="19">
        <v>10256</v>
      </c>
      <c r="AU4" s="19">
        <v>7399</v>
      </c>
      <c r="AV4" s="19">
        <v>9108.5</v>
      </c>
      <c r="AW4" s="19"/>
      <c r="AX4" s="19"/>
      <c r="AY4" s="19">
        <f t="shared" si="2"/>
        <v>63025.5</v>
      </c>
      <c r="AZ4" s="19">
        <f>AY4-AJ4</f>
        <v>-8326.5</v>
      </c>
      <c r="BA4" s="79">
        <f t="shared" si="3"/>
        <v>-8033.5000000000055</v>
      </c>
      <c r="BB4" s="28"/>
      <c r="BD4" s="28"/>
    </row>
    <row r="5" spans="1:56" ht="36.6" customHeight="1" x14ac:dyDescent="0.25">
      <c r="A5" s="15"/>
      <c r="B5" s="5"/>
      <c r="C5" s="67" t="s">
        <v>23</v>
      </c>
      <c r="D5" s="51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  <c r="S5" s="19"/>
      <c r="T5" s="19"/>
      <c r="U5" s="19">
        <f>U4/T4</f>
        <v>1.0177221787855095</v>
      </c>
      <c r="V5" s="19">
        <f t="shared" ref="V5:AC5" si="6">V4/U4</f>
        <v>1.1085787451984634</v>
      </c>
      <c r="W5" s="19">
        <f t="shared" si="6"/>
        <v>2.8348348348348349</v>
      </c>
      <c r="X5" s="19">
        <f t="shared" si="6"/>
        <v>2.0360169491525424</v>
      </c>
      <c r="Y5" s="19">
        <f t="shared" si="6"/>
        <v>0.95177299287601058</v>
      </c>
      <c r="Z5" s="19">
        <f t="shared" si="6"/>
        <v>0.86253731970901137</v>
      </c>
      <c r="AA5" s="19">
        <f t="shared" si="6"/>
        <v>0.7214313572542902</v>
      </c>
      <c r="AB5" s="19">
        <f t="shared" si="6"/>
        <v>1.2310447357751046</v>
      </c>
      <c r="AC5" s="19">
        <f t="shared" si="6"/>
        <v>0.60509414283361695</v>
      </c>
      <c r="AD5" s="109"/>
      <c r="AE5" s="111">
        <f t="shared" ref="AE5:AE11" si="7">(T5+U5+V5+W5+X5+Y5+Z5+AA5+AB5+AC5+AD5)/11</f>
        <v>1.0335484778563075</v>
      </c>
      <c r="AF5" s="20"/>
      <c r="AG5" s="20"/>
      <c r="AH5" s="20"/>
      <c r="AI5" s="20"/>
      <c r="AJ5" s="63"/>
      <c r="AK5" s="67"/>
      <c r="AL5" s="77"/>
      <c r="AM5" s="56"/>
      <c r="AN5" s="96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79"/>
      <c r="BB5" s="28"/>
      <c r="BD5" s="28"/>
    </row>
    <row r="6" spans="1:56" ht="36.6" customHeight="1" x14ac:dyDescent="0.25">
      <c r="A6" s="15"/>
      <c r="B6" s="5"/>
      <c r="C6" s="67"/>
      <c r="D6" s="51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  <c r="S6" s="19"/>
      <c r="T6" s="19">
        <v>1586.5</v>
      </c>
      <c r="U6" s="19">
        <v>2235</v>
      </c>
      <c r="V6" s="19">
        <v>2916</v>
      </c>
      <c r="W6" s="19">
        <v>9544.5</v>
      </c>
      <c r="X6" s="19">
        <v>19393</v>
      </c>
      <c r="Y6" s="19">
        <v>22359</v>
      </c>
      <c r="Z6" s="19">
        <v>13321</v>
      </c>
      <c r="AA6" s="19">
        <v>19560.5</v>
      </c>
      <c r="AB6" s="19">
        <v>13415.5</v>
      </c>
      <c r="AC6" s="19">
        <v>9237.5</v>
      </c>
      <c r="AD6" s="109">
        <v>2383</v>
      </c>
      <c r="AE6" s="111">
        <f t="shared" si="7"/>
        <v>10541.045454545454</v>
      </c>
      <c r="AF6" s="20"/>
      <c r="AG6" s="20"/>
      <c r="AH6" s="20"/>
      <c r="AI6" s="20"/>
      <c r="AJ6" s="63"/>
      <c r="AK6" s="67"/>
      <c r="AL6" s="77"/>
      <c r="AM6" s="56"/>
      <c r="AN6" s="96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79"/>
      <c r="BB6" s="28"/>
      <c r="BD6" s="28"/>
    </row>
    <row r="7" spans="1:56" ht="36.6" customHeight="1" x14ac:dyDescent="0.25">
      <c r="A7" s="15"/>
      <c r="B7" s="5"/>
      <c r="C7" s="67" t="s">
        <v>60</v>
      </c>
      <c r="D7" s="51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9"/>
      <c r="S7" s="19"/>
      <c r="T7" s="19">
        <f>T4/T6</f>
        <v>1.2092656791679799</v>
      </c>
      <c r="U7" s="19">
        <f t="shared" ref="U7:AD7" si="8">U4/U6</f>
        <v>0.87360178970917224</v>
      </c>
      <c r="V7" s="19">
        <f t="shared" si="8"/>
        <v>0.74228395061728392</v>
      </c>
      <c r="W7" s="19">
        <f t="shared" si="8"/>
        <v>0.64288333595264291</v>
      </c>
      <c r="X7" s="19">
        <f t="shared" si="8"/>
        <v>0.64420151601093179</v>
      </c>
      <c r="Y7" s="19">
        <f t="shared" si="8"/>
        <v>0.53179927545954653</v>
      </c>
      <c r="Z7" s="19">
        <f t="shared" si="8"/>
        <v>0.76991216875609936</v>
      </c>
      <c r="AA7" s="19">
        <f t="shared" si="8"/>
        <v>0.37826231435801744</v>
      </c>
      <c r="AB7" s="19">
        <f t="shared" si="8"/>
        <v>0.67895344936826807</v>
      </c>
      <c r="AC7" s="19">
        <f t="shared" si="8"/>
        <v>0.59664411366711778</v>
      </c>
      <c r="AD7" s="109">
        <f t="shared" si="8"/>
        <v>1.058329836340747</v>
      </c>
      <c r="AE7" s="111">
        <f t="shared" si="7"/>
        <v>0.73873976630980065</v>
      </c>
      <c r="AF7" s="20"/>
      <c r="AG7" s="20"/>
      <c r="AH7" s="20"/>
      <c r="AI7" s="20"/>
      <c r="AJ7" s="63"/>
      <c r="AK7" s="67"/>
      <c r="AL7" s="77"/>
      <c r="AM7" s="56"/>
      <c r="AN7" s="96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79"/>
      <c r="BB7" s="28"/>
      <c r="BD7" s="28"/>
    </row>
    <row r="8" spans="1:56" s="65" customFormat="1" ht="41.45" customHeight="1" x14ac:dyDescent="0.25">
      <c r="A8" s="57" t="s">
        <v>38</v>
      </c>
      <c r="B8" s="58" t="s">
        <v>57</v>
      </c>
      <c r="C8" s="59" t="s">
        <v>24</v>
      </c>
      <c r="D8" s="51">
        <v>58</v>
      </c>
      <c r="E8" s="60"/>
      <c r="F8" s="60"/>
      <c r="G8" s="60"/>
      <c r="H8" s="61">
        <v>31570</v>
      </c>
      <c r="I8" s="61">
        <v>151430</v>
      </c>
      <c r="J8" s="61">
        <v>152586</v>
      </c>
      <c r="K8" s="61">
        <v>154580</v>
      </c>
      <c r="L8" s="61">
        <v>153640</v>
      </c>
      <c r="M8" s="61">
        <v>134668</v>
      </c>
      <c r="N8" s="61">
        <v>71220</v>
      </c>
      <c r="O8" s="61"/>
      <c r="P8" s="61"/>
      <c r="Q8" s="61">
        <f t="shared" si="0"/>
        <v>849694</v>
      </c>
      <c r="R8" s="62">
        <v>0</v>
      </c>
      <c r="S8" s="62"/>
      <c r="T8" s="60"/>
      <c r="U8" s="60"/>
      <c r="V8" s="60"/>
      <c r="W8" s="62">
        <v>725283.5</v>
      </c>
      <c r="X8" s="62">
        <v>3486711</v>
      </c>
      <c r="Y8" s="62">
        <v>3508886</v>
      </c>
      <c r="Z8" s="62">
        <v>3556848.5</v>
      </c>
      <c r="AA8" s="62">
        <v>3559852</v>
      </c>
      <c r="AB8" s="89">
        <v>3109400.5</v>
      </c>
      <c r="AC8" s="62">
        <v>1640095.5</v>
      </c>
      <c r="AD8" s="109">
        <v>0</v>
      </c>
      <c r="AE8" s="110">
        <v>0</v>
      </c>
      <c r="AF8" s="63"/>
      <c r="AG8" s="63">
        <f t="shared" si="1"/>
        <v>19587077</v>
      </c>
      <c r="AH8" s="63"/>
      <c r="AI8" s="20">
        <f t="shared" si="4"/>
        <v>19587077</v>
      </c>
      <c r="AJ8" s="63">
        <f t="shared" si="5"/>
        <v>19587077</v>
      </c>
      <c r="AK8" s="68" t="s">
        <v>24</v>
      </c>
      <c r="AL8" s="77">
        <v>0</v>
      </c>
      <c r="AM8" s="64"/>
      <c r="AN8" s="64"/>
      <c r="AO8" s="64"/>
      <c r="AP8" s="64"/>
      <c r="AQ8" s="62">
        <v>725283.5</v>
      </c>
      <c r="AR8" s="62">
        <v>3486711</v>
      </c>
      <c r="AS8" s="62">
        <v>3508886</v>
      </c>
      <c r="AT8" s="62">
        <v>3556848.5</v>
      </c>
      <c r="AU8" s="62">
        <v>3559852</v>
      </c>
      <c r="AV8" s="62">
        <v>3109400.5</v>
      </c>
      <c r="AW8" s="62"/>
      <c r="AX8" s="62"/>
      <c r="AY8" s="19">
        <f t="shared" si="2"/>
        <v>17946981.5</v>
      </c>
      <c r="AZ8" s="19">
        <f>AY8-AJ8</f>
        <v>-1640095.5</v>
      </c>
      <c r="BA8" s="62">
        <f t="shared" si="3"/>
        <v>-1640095.5</v>
      </c>
      <c r="BC8" s="74"/>
    </row>
    <row r="9" spans="1:56" s="36" customFormat="1" ht="24.75" customHeight="1" x14ac:dyDescent="0.25">
      <c r="A9" s="15" t="s">
        <v>38</v>
      </c>
      <c r="B9" s="31" t="s">
        <v>31</v>
      </c>
      <c r="C9" s="32" t="s">
        <v>25</v>
      </c>
      <c r="D9" s="51">
        <v>59</v>
      </c>
      <c r="E9" s="34">
        <v>47250</v>
      </c>
      <c r="F9" s="34">
        <v>32399</v>
      </c>
      <c r="G9" s="34">
        <v>68169</v>
      </c>
      <c r="H9" s="34">
        <v>47689</v>
      </c>
      <c r="I9" s="34">
        <v>70587</v>
      </c>
      <c r="J9" s="34">
        <v>43521</v>
      </c>
      <c r="K9" s="37"/>
      <c r="L9" s="37"/>
      <c r="M9" s="34">
        <v>42444</v>
      </c>
      <c r="N9" s="34">
        <v>45654</v>
      </c>
      <c r="O9" s="34"/>
      <c r="P9" s="44"/>
      <c r="Q9" s="18">
        <f t="shared" si="0"/>
        <v>397713</v>
      </c>
      <c r="R9" s="35">
        <v>0</v>
      </c>
      <c r="S9" s="35"/>
      <c r="T9" s="35">
        <v>1504890.5</v>
      </c>
      <c r="U9" s="35">
        <v>954267.5</v>
      </c>
      <c r="V9" s="35">
        <v>2298657.5</v>
      </c>
      <c r="W9" s="35">
        <v>1378407.5</v>
      </c>
      <c r="X9" s="35">
        <v>2035361</v>
      </c>
      <c r="Y9" s="35">
        <v>1285269.5</v>
      </c>
      <c r="Z9" s="35"/>
      <c r="AA9" s="35"/>
      <c r="AB9" s="88">
        <v>1218108</v>
      </c>
      <c r="AC9" s="35">
        <v>1326769</v>
      </c>
      <c r="AD9" s="109">
        <v>1499105</v>
      </c>
      <c r="AE9" s="110">
        <v>1204993.3</v>
      </c>
      <c r="AF9" s="53"/>
      <c r="AG9" s="20">
        <f t="shared" si="1"/>
        <v>13500835.5</v>
      </c>
      <c r="AH9" s="20"/>
      <c r="AI9" s="20">
        <f t="shared" si="4"/>
        <v>13500835.5</v>
      </c>
      <c r="AJ9" s="63">
        <f t="shared" si="5"/>
        <v>13500835.5</v>
      </c>
      <c r="AK9" s="68" t="s">
        <v>25</v>
      </c>
      <c r="AL9" s="77">
        <v>0</v>
      </c>
      <c r="AM9" s="56"/>
      <c r="AN9" s="56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19">
        <f t="shared" si="2"/>
        <v>0</v>
      </c>
      <c r="AZ9" s="42"/>
      <c r="BA9" s="62">
        <f t="shared" si="3"/>
        <v>0</v>
      </c>
      <c r="BC9" s="80"/>
    </row>
    <row r="10" spans="1:56" s="36" customFormat="1" ht="45" customHeight="1" x14ac:dyDescent="0.25">
      <c r="A10" s="15" t="s">
        <v>38</v>
      </c>
      <c r="B10" s="31" t="s">
        <v>37</v>
      </c>
      <c r="C10" s="178" t="s">
        <v>25</v>
      </c>
      <c r="D10" s="51">
        <v>60</v>
      </c>
      <c r="E10" s="34">
        <v>136170</v>
      </c>
      <c r="F10" s="34">
        <v>154201</v>
      </c>
      <c r="G10" s="34">
        <v>189689</v>
      </c>
      <c r="H10" s="34"/>
      <c r="I10" s="34">
        <v>173815</v>
      </c>
      <c r="J10" s="34">
        <v>77088</v>
      </c>
      <c r="K10" s="34"/>
      <c r="L10" s="34"/>
      <c r="M10" s="34">
        <v>191219</v>
      </c>
      <c r="N10" s="34">
        <v>229193</v>
      </c>
      <c r="O10" s="34"/>
      <c r="P10" s="44"/>
      <c r="Q10" s="18">
        <f t="shared" si="0"/>
        <v>1151375</v>
      </c>
      <c r="R10" s="35">
        <v>0</v>
      </c>
      <c r="S10" s="35"/>
      <c r="T10" s="35">
        <v>3995341.5</v>
      </c>
      <c r="U10" s="35">
        <v>4330696.5</v>
      </c>
      <c r="V10" s="35">
        <v>5369765</v>
      </c>
      <c r="W10" s="35"/>
      <c r="X10" s="35">
        <v>4976657.5</v>
      </c>
      <c r="Y10" s="35">
        <v>2196148</v>
      </c>
      <c r="Z10" s="35"/>
      <c r="AA10" s="35"/>
      <c r="AB10" s="88">
        <v>5140710</v>
      </c>
      <c r="AC10" s="35">
        <v>6075318.5</v>
      </c>
      <c r="AD10" s="109">
        <v>5372098</v>
      </c>
      <c r="AE10" s="110">
        <v>5061780.2</v>
      </c>
      <c r="AF10" s="53"/>
      <c r="AG10" s="20">
        <f t="shared" si="1"/>
        <v>37456735</v>
      </c>
      <c r="AH10" s="20"/>
      <c r="AI10" s="20">
        <f t="shared" si="4"/>
        <v>37456735</v>
      </c>
      <c r="AJ10" s="63">
        <f t="shared" si="5"/>
        <v>37456735</v>
      </c>
      <c r="AK10" s="181" t="s">
        <v>25</v>
      </c>
      <c r="AL10" s="77">
        <v>0</v>
      </c>
      <c r="AM10" s="56"/>
      <c r="AN10" s="56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19">
        <f t="shared" si="2"/>
        <v>0</v>
      </c>
      <c r="AZ10" s="35"/>
      <c r="BA10" s="62">
        <f t="shared" si="3"/>
        <v>0</v>
      </c>
      <c r="BC10" s="80"/>
    </row>
    <row r="11" spans="1:56" s="36" customFormat="1" ht="75" customHeight="1" x14ac:dyDescent="0.25">
      <c r="A11" s="15" t="s">
        <v>38</v>
      </c>
      <c r="B11" s="31" t="s">
        <v>39</v>
      </c>
      <c r="C11" s="179"/>
      <c r="D11" s="51">
        <v>60</v>
      </c>
      <c r="E11" s="37"/>
      <c r="F11" s="37"/>
      <c r="G11" s="37"/>
      <c r="H11" s="37">
        <v>187307</v>
      </c>
      <c r="I11" s="37"/>
      <c r="J11" s="34">
        <v>83555</v>
      </c>
      <c r="K11" s="37"/>
      <c r="L11" s="37"/>
      <c r="M11" s="34"/>
      <c r="N11" s="34"/>
      <c r="O11" s="34"/>
      <c r="P11" s="34"/>
      <c r="Q11" s="18">
        <f t="shared" si="0"/>
        <v>270862</v>
      </c>
      <c r="R11" s="35">
        <v>0</v>
      </c>
      <c r="S11" s="35"/>
      <c r="T11" s="37"/>
      <c r="U11" s="37"/>
      <c r="V11" s="37"/>
      <c r="W11" s="97">
        <v>5201857.5</v>
      </c>
      <c r="X11" s="35"/>
      <c r="Y11" s="35">
        <v>2393466.5</v>
      </c>
      <c r="Z11" s="35"/>
      <c r="AA11" s="35"/>
      <c r="AB11" s="83"/>
      <c r="AC11" s="35"/>
      <c r="AD11" s="109"/>
      <c r="AE11" s="110">
        <f t="shared" si="7"/>
        <v>690484</v>
      </c>
      <c r="AF11" s="53"/>
      <c r="AG11" s="20">
        <f t="shared" si="1"/>
        <v>7595324</v>
      </c>
      <c r="AH11" s="20"/>
      <c r="AI11" s="20">
        <f t="shared" si="4"/>
        <v>7595324</v>
      </c>
      <c r="AJ11" s="63">
        <f t="shared" si="5"/>
        <v>7595324</v>
      </c>
      <c r="AK11" s="182"/>
      <c r="AL11" s="77">
        <v>0</v>
      </c>
      <c r="AM11" s="56"/>
      <c r="AN11" s="56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19">
        <f t="shared" si="2"/>
        <v>0</v>
      </c>
      <c r="AZ11" s="35"/>
      <c r="BA11" s="62">
        <f t="shared" si="3"/>
        <v>0</v>
      </c>
      <c r="BC11" s="80"/>
    </row>
    <row r="12" spans="1:56" s="36" customFormat="1" ht="44.25" customHeight="1" x14ac:dyDescent="0.25">
      <c r="A12" s="15" t="s">
        <v>38</v>
      </c>
      <c r="B12" s="31" t="s">
        <v>32</v>
      </c>
      <c r="C12" s="179"/>
      <c r="D12" s="51">
        <v>45</v>
      </c>
      <c r="E12" s="34">
        <v>2450</v>
      </c>
      <c r="F12" s="34">
        <v>2469</v>
      </c>
      <c r="G12" s="34">
        <v>2653</v>
      </c>
      <c r="H12" s="34">
        <v>3595</v>
      </c>
      <c r="I12" s="34">
        <v>3148</v>
      </c>
      <c r="J12" s="34">
        <v>753</v>
      </c>
      <c r="K12" s="37"/>
      <c r="L12" s="37"/>
      <c r="M12" s="34">
        <v>4318</v>
      </c>
      <c r="N12" s="34">
        <v>5118</v>
      </c>
      <c r="O12" s="34"/>
      <c r="P12" s="44"/>
      <c r="Q12" s="18">
        <f t="shared" si="0"/>
        <v>24504</v>
      </c>
      <c r="R12" s="35">
        <v>0</v>
      </c>
      <c r="S12" s="35"/>
      <c r="T12" s="35">
        <v>79628</v>
      </c>
      <c r="U12" s="35">
        <v>83938</v>
      </c>
      <c r="V12" s="35">
        <v>91534</v>
      </c>
      <c r="W12" s="35">
        <v>116405</v>
      </c>
      <c r="X12" s="35">
        <v>104069</v>
      </c>
      <c r="Y12" s="35">
        <v>25579</v>
      </c>
      <c r="Z12" s="35"/>
      <c r="AA12" s="35"/>
      <c r="AB12" s="88">
        <v>130246</v>
      </c>
      <c r="AC12" s="35">
        <v>147647</v>
      </c>
      <c r="AD12" s="109">
        <v>102163</v>
      </c>
      <c r="AE12" s="110">
        <v>100961.60000000001</v>
      </c>
      <c r="AF12" s="53"/>
      <c r="AG12" s="20">
        <f t="shared" si="1"/>
        <v>881209</v>
      </c>
      <c r="AH12" s="20"/>
      <c r="AI12" s="20">
        <f t="shared" si="4"/>
        <v>881209</v>
      </c>
      <c r="AJ12" s="63">
        <f t="shared" si="5"/>
        <v>881209</v>
      </c>
      <c r="AK12" s="182"/>
      <c r="AL12" s="77">
        <v>0</v>
      </c>
      <c r="AM12" s="56"/>
      <c r="AN12" s="56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19">
        <f t="shared" si="2"/>
        <v>0</v>
      </c>
      <c r="AZ12" s="35"/>
      <c r="BA12" s="62">
        <f t="shared" si="3"/>
        <v>0</v>
      </c>
      <c r="BC12" s="80"/>
    </row>
    <row r="13" spans="1:56" s="36" customFormat="1" ht="30" customHeight="1" x14ac:dyDescent="0.25">
      <c r="A13" s="15" t="s">
        <v>38</v>
      </c>
      <c r="B13" s="31" t="s">
        <v>33</v>
      </c>
      <c r="C13" s="179"/>
      <c r="D13" s="33">
        <v>44</v>
      </c>
      <c r="E13" s="34">
        <v>1383</v>
      </c>
      <c r="F13" s="34">
        <v>1121</v>
      </c>
      <c r="G13" s="34">
        <v>1745</v>
      </c>
      <c r="H13" s="34">
        <v>1676</v>
      </c>
      <c r="I13" s="34">
        <v>1758</v>
      </c>
      <c r="J13" s="34">
        <v>1851</v>
      </c>
      <c r="K13" s="34">
        <v>1646</v>
      </c>
      <c r="L13" s="34">
        <v>1645</v>
      </c>
      <c r="M13" s="34">
        <v>1507</v>
      </c>
      <c r="N13" s="34">
        <v>1459</v>
      </c>
      <c r="O13" s="34"/>
      <c r="P13" s="44"/>
      <c r="Q13" s="18">
        <f t="shared" si="0"/>
        <v>15791</v>
      </c>
      <c r="R13" s="35">
        <v>0</v>
      </c>
      <c r="S13" s="35"/>
      <c r="T13" s="35">
        <v>94597</v>
      </c>
      <c r="U13" s="35">
        <v>74792</v>
      </c>
      <c r="V13" s="35">
        <v>116860</v>
      </c>
      <c r="W13" s="35">
        <v>106376</v>
      </c>
      <c r="X13" s="35">
        <v>112955</v>
      </c>
      <c r="Y13" s="35">
        <v>121443</v>
      </c>
      <c r="Z13" s="35">
        <v>105816</v>
      </c>
      <c r="AA13" s="35">
        <v>107349</v>
      </c>
      <c r="AB13" s="88">
        <v>91190</v>
      </c>
      <c r="AC13" s="35">
        <v>87924</v>
      </c>
      <c r="AD13" s="109">
        <v>112699</v>
      </c>
      <c r="AE13" s="110">
        <v>102385.1</v>
      </c>
      <c r="AF13" s="53"/>
      <c r="AG13" s="20">
        <f t="shared" si="1"/>
        <v>1132001</v>
      </c>
      <c r="AH13" s="20"/>
      <c r="AI13" s="20">
        <f t="shared" si="4"/>
        <v>1132001</v>
      </c>
      <c r="AJ13" s="63">
        <f t="shared" si="5"/>
        <v>1132001</v>
      </c>
      <c r="AK13" s="182"/>
      <c r="AL13" s="77">
        <v>0</v>
      </c>
      <c r="AM13" s="56"/>
      <c r="AN13" s="56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19">
        <f t="shared" si="2"/>
        <v>0</v>
      </c>
      <c r="AZ13" s="35"/>
      <c r="BA13" s="62">
        <f t="shared" si="3"/>
        <v>0</v>
      </c>
      <c r="BC13" s="80"/>
    </row>
    <row r="14" spans="1:56" s="41" customFormat="1" ht="93.6" customHeight="1" x14ac:dyDescent="0.25">
      <c r="A14" s="15" t="s">
        <v>38</v>
      </c>
      <c r="B14" s="38"/>
      <c r="C14" s="179"/>
      <c r="D14" s="39" t="s">
        <v>17</v>
      </c>
      <c r="E14" s="40">
        <f t="shared" ref="E14:Q14" si="9">E9+E10+E11+E12+E13</f>
        <v>187253</v>
      </c>
      <c r="F14" s="40">
        <f t="shared" si="9"/>
        <v>190190</v>
      </c>
      <c r="G14" s="40">
        <f t="shared" si="9"/>
        <v>262256</v>
      </c>
      <c r="H14" s="40">
        <f t="shared" si="9"/>
        <v>240267</v>
      </c>
      <c r="I14" s="40">
        <f t="shared" si="9"/>
        <v>249308</v>
      </c>
      <c r="J14" s="40">
        <f t="shared" si="9"/>
        <v>206768</v>
      </c>
      <c r="K14" s="40">
        <f t="shared" si="9"/>
        <v>1646</v>
      </c>
      <c r="L14" s="40">
        <f t="shared" si="9"/>
        <v>1645</v>
      </c>
      <c r="M14" s="40">
        <f t="shared" si="9"/>
        <v>239488</v>
      </c>
      <c r="N14" s="40">
        <f t="shared" si="9"/>
        <v>281424</v>
      </c>
      <c r="O14" s="40">
        <f t="shared" si="9"/>
        <v>0</v>
      </c>
      <c r="P14" s="40">
        <f t="shared" si="9"/>
        <v>0</v>
      </c>
      <c r="Q14" s="18">
        <f t="shared" si="9"/>
        <v>1860245</v>
      </c>
      <c r="R14" s="35">
        <v>55863.810000002384</v>
      </c>
      <c r="S14" s="35">
        <v>1217384.1399999999</v>
      </c>
      <c r="T14" s="35">
        <f t="shared" ref="T14:AI14" si="10">T9+T10+T11+T12+T13</f>
        <v>5674457</v>
      </c>
      <c r="U14" s="35">
        <f t="shared" si="10"/>
        <v>5443694</v>
      </c>
      <c r="V14" s="35">
        <f t="shared" si="10"/>
        <v>7876816.5</v>
      </c>
      <c r="W14" s="35">
        <f t="shared" si="10"/>
        <v>6803046</v>
      </c>
      <c r="X14" s="35">
        <f t="shared" si="10"/>
        <v>7229042.5</v>
      </c>
      <c r="Y14" s="35">
        <f t="shared" si="10"/>
        <v>6021906</v>
      </c>
      <c r="Z14" s="35">
        <f t="shared" si="10"/>
        <v>105816</v>
      </c>
      <c r="AA14" s="35">
        <f t="shared" si="10"/>
        <v>107349</v>
      </c>
      <c r="AB14" s="88">
        <f t="shared" si="10"/>
        <v>6580254</v>
      </c>
      <c r="AC14" s="35">
        <f>AC9+AC10+AC11+AC12+AC13</f>
        <v>7637658.5</v>
      </c>
      <c r="AD14" s="35">
        <f>AD9+AD10+AD11+AD12+AD13</f>
        <v>7086065</v>
      </c>
      <c r="AE14" s="112">
        <f>(T14+U14+V14+W14+X14+Y14+Z14+AA14+AB14+AC14+AD14)/11</f>
        <v>5506009.5</v>
      </c>
      <c r="AF14" s="35">
        <f t="shared" si="10"/>
        <v>0</v>
      </c>
      <c r="AG14" s="35">
        <f t="shared" si="1"/>
        <v>60566104.5</v>
      </c>
      <c r="AH14" s="35">
        <f t="shared" si="10"/>
        <v>0</v>
      </c>
      <c r="AI14" s="35">
        <f t="shared" si="10"/>
        <v>60566104.5</v>
      </c>
      <c r="AJ14" s="63">
        <f t="shared" si="5"/>
        <v>60566104.5</v>
      </c>
      <c r="AK14" s="182"/>
      <c r="AL14" s="77">
        <v>-1217384.1399999976</v>
      </c>
      <c r="AM14" s="56">
        <v>1217384.1399999999</v>
      </c>
      <c r="AN14" s="96">
        <v>5674457</v>
      </c>
      <c r="AO14" s="35">
        <v>5443694</v>
      </c>
      <c r="AP14" s="35">
        <v>7876816.5</v>
      </c>
      <c r="AQ14" s="35">
        <v>6803046</v>
      </c>
      <c r="AR14" s="35">
        <v>7229042.5</v>
      </c>
      <c r="AS14" s="35">
        <v>6021906</v>
      </c>
      <c r="AT14" s="35">
        <v>105816</v>
      </c>
      <c r="AU14" s="35">
        <v>107349</v>
      </c>
      <c r="AV14" s="35">
        <v>6580254</v>
      </c>
      <c r="AW14" s="35"/>
      <c r="AX14" s="35"/>
      <c r="AY14" s="19">
        <f t="shared" si="2"/>
        <v>47059765.140000001</v>
      </c>
      <c r="AZ14" s="19">
        <f>AY14-AJ14</f>
        <v>-13506339.359999999</v>
      </c>
      <c r="BA14" s="62">
        <f t="shared" si="3"/>
        <v>-14723723.499999996</v>
      </c>
      <c r="BC14" s="81"/>
    </row>
    <row r="15" spans="1:56" s="24" customFormat="1" hidden="1" x14ac:dyDescent="0.25">
      <c r="A15" s="15" t="s">
        <v>38</v>
      </c>
      <c r="B15" s="21" t="s">
        <v>19</v>
      </c>
      <c r="C15" s="179"/>
      <c r="D15" s="29" t="s">
        <v>36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18">
        <f>E15+F15+G15+H15+I15+J15+K15+L15+M15+N15+O15+P15</f>
        <v>0</v>
      </c>
      <c r="R15" s="19">
        <v>-3759224.8249999997</v>
      </c>
      <c r="S15" s="19"/>
      <c r="T15" s="19"/>
      <c r="U15" s="19"/>
      <c r="V15" s="19"/>
      <c r="W15" s="19"/>
      <c r="X15" s="19"/>
      <c r="Y15" s="19">
        <f t="shared" ref="Y15:AD15" si="11">(Y9+Y10+(Y12+Y13)/2)*0.05+(Y12+Y13)/2+Y11</f>
        <v>2644723.9249999998</v>
      </c>
      <c r="Z15" s="19">
        <f>SUM(Z14)</f>
        <v>105816</v>
      </c>
      <c r="AA15" s="19">
        <f>SUM(AA14)</f>
        <v>107349</v>
      </c>
      <c r="AB15" s="75">
        <f>(AB9+AB10+(AB12+AB13)/2)*0.05+(AB12+AB13)/2+AB11</f>
        <v>434194.80000000005</v>
      </c>
      <c r="AC15" s="19">
        <f t="shared" si="11"/>
        <v>493779.15</v>
      </c>
      <c r="AD15" s="109">
        <f t="shared" si="11"/>
        <v>456362.7</v>
      </c>
      <c r="AE15" s="110">
        <f>T15+U15+V15+W15+X15+Y15+Z15+AA15+AB15+AC15+AD15</f>
        <v>4242225.5749999993</v>
      </c>
      <c r="AF15" s="20"/>
      <c r="AG15" s="20">
        <f t="shared" si="1"/>
        <v>4242225.5749999993</v>
      </c>
      <c r="AH15" s="20"/>
      <c r="AI15" s="20"/>
      <c r="AJ15" s="63">
        <f t="shared" si="5"/>
        <v>4242225.5749999993</v>
      </c>
      <c r="AK15" s="182"/>
      <c r="AL15" s="77">
        <v>-3759224.8249999997</v>
      </c>
      <c r="AM15" s="56"/>
      <c r="AN15" s="56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>
        <f t="shared" si="2"/>
        <v>0</v>
      </c>
      <c r="AZ15" s="43">
        <f>AY15-AJ15</f>
        <v>-4242225.5749999993</v>
      </c>
      <c r="BA15" s="79">
        <f t="shared" si="3"/>
        <v>-8001450.3999999985</v>
      </c>
      <c r="BC15" s="82"/>
    </row>
    <row r="16" spans="1:56" s="24" customFormat="1" hidden="1" x14ac:dyDescent="0.25">
      <c r="A16" s="15" t="s">
        <v>38</v>
      </c>
      <c r="B16" s="21" t="s">
        <v>20</v>
      </c>
      <c r="C16" s="180"/>
      <c r="D16" s="29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18">
        <f>E16+F16+G16+H16+I16+J16+K16+L16+M16+N16+O16+P16</f>
        <v>0</v>
      </c>
      <c r="R16" s="29" t="e">
        <v>#VALUE!</v>
      </c>
      <c r="S16" s="29"/>
      <c r="T16" s="19"/>
      <c r="U16" s="19"/>
      <c r="V16" s="19"/>
      <c r="W16" s="19"/>
      <c r="X16" s="56" t="s">
        <v>36</v>
      </c>
      <c r="Y16" s="19">
        <f t="shared" ref="Y16:AD16" si="12">Y14-Y15</f>
        <v>3377182.0750000002</v>
      </c>
      <c r="Z16" s="19">
        <v>0</v>
      </c>
      <c r="AA16" s="19">
        <v>0</v>
      </c>
      <c r="AB16" s="75">
        <f t="shared" si="12"/>
        <v>6146059.2000000002</v>
      </c>
      <c r="AC16" s="19">
        <f t="shared" si="12"/>
        <v>7143879.3499999996</v>
      </c>
      <c r="AD16" s="109">
        <f t="shared" si="12"/>
        <v>6629702.2999999998</v>
      </c>
      <c r="AE16" s="110" t="e">
        <f>T16+U16+V16+W16+X16+Y16+Z16+AA16+AB16+AC16+AD16</f>
        <v>#VALUE!</v>
      </c>
      <c r="AF16" s="20"/>
      <c r="AG16" s="20">
        <f t="shared" si="1"/>
        <v>23296822.925000001</v>
      </c>
      <c r="AH16" s="20"/>
      <c r="AI16" s="20"/>
      <c r="AJ16" s="63">
        <f t="shared" si="5"/>
        <v>23296822.925000001</v>
      </c>
      <c r="AK16" s="183"/>
      <c r="AL16" s="77" t="e">
        <v>#VALUE!</v>
      </c>
      <c r="AM16" s="56"/>
      <c r="AN16" s="56"/>
      <c r="AO16" s="56"/>
      <c r="AP16" s="56" t="s">
        <v>36</v>
      </c>
      <c r="AQ16" s="56" t="s">
        <v>36</v>
      </c>
      <c r="AR16" s="56" t="s">
        <v>36</v>
      </c>
      <c r="AS16" s="56" t="s">
        <v>36</v>
      </c>
      <c r="AT16" s="19"/>
      <c r="AU16" s="19"/>
      <c r="AV16" s="19"/>
      <c r="AW16" s="19"/>
      <c r="AX16" s="19"/>
      <c r="AY16" s="19" t="e">
        <f t="shared" si="2"/>
        <v>#VALUE!</v>
      </c>
      <c r="AZ16" s="19" t="e">
        <f>AY16-AJ16</f>
        <v>#VALUE!</v>
      </c>
      <c r="BA16" s="79" t="e">
        <f t="shared" si="3"/>
        <v>#VALUE!</v>
      </c>
      <c r="BC16" s="82"/>
    </row>
    <row r="17" spans="1:116" s="104" customFormat="1" x14ac:dyDescent="0.25">
      <c r="A17" s="98"/>
      <c r="B17" s="103"/>
      <c r="C17" s="114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44"/>
      <c r="R17" s="99"/>
      <c r="S17" s="99"/>
      <c r="T17" s="100"/>
      <c r="U17" s="100">
        <f>U14/T14</f>
        <v>0.95933302516875185</v>
      </c>
      <c r="V17" s="100">
        <f t="shared" ref="V17:AD17" si="13">V14/U14</f>
        <v>1.4469616587559844</v>
      </c>
      <c r="W17" s="100">
        <f t="shared" si="13"/>
        <v>0.86367963504037448</v>
      </c>
      <c r="X17" s="100">
        <f t="shared" si="13"/>
        <v>1.0626184947154553</v>
      </c>
      <c r="Y17" s="100">
        <f t="shared" si="13"/>
        <v>0.83301571404511732</v>
      </c>
      <c r="Z17" s="100">
        <f t="shared" si="13"/>
        <v>1.7571845193199629E-2</v>
      </c>
      <c r="AA17" s="100">
        <f t="shared" si="13"/>
        <v>1.0144874121115899</v>
      </c>
      <c r="AB17" s="100">
        <f t="shared" si="13"/>
        <v>61.297767096107087</v>
      </c>
      <c r="AC17" s="100">
        <f t="shared" si="13"/>
        <v>1.1606935689716538</v>
      </c>
      <c r="AD17" s="100">
        <f t="shared" si="13"/>
        <v>0.92777976391586503</v>
      </c>
      <c r="AE17" s="101"/>
      <c r="AF17" s="101"/>
      <c r="AG17" s="101"/>
      <c r="AH17" s="101"/>
      <c r="AI17" s="101"/>
      <c r="AJ17" s="101"/>
      <c r="AK17" s="115"/>
      <c r="AL17" s="102"/>
      <c r="AM17" s="102"/>
      <c r="AN17" s="102"/>
      <c r="AO17" s="102"/>
      <c r="AP17" s="102"/>
      <c r="AQ17" s="102"/>
      <c r="AR17" s="102"/>
      <c r="AS17" s="102"/>
      <c r="AT17" s="100"/>
      <c r="AU17" s="100"/>
      <c r="AV17" s="100"/>
      <c r="AW17" s="100"/>
      <c r="AX17" s="100"/>
      <c r="AY17" s="100"/>
      <c r="AZ17" s="100"/>
      <c r="BA17" s="100"/>
      <c r="BC17" s="116"/>
    </row>
    <row r="18" spans="1:116" s="123" customFormat="1" ht="82.9" customHeight="1" x14ac:dyDescent="0.25">
      <c r="A18" s="117" t="s">
        <v>38</v>
      </c>
      <c r="B18" s="118"/>
      <c r="C18" s="114"/>
      <c r="D18" s="119" t="s">
        <v>58</v>
      </c>
      <c r="E18" s="120">
        <f t="shared" ref="E18:R18" si="14">E13+E14+E15+E16+E17</f>
        <v>188636</v>
      </c>
      <c r="F18" s="120">
        <f t="shared" si="14"/>
        <v>191311</v>
      </c>
      <c r="G18" s="120">
        <f t="shared" si="14"/>
        <v>264001</v>
      </c>
      <c r="H18" s="120">
        <f t="shared" si="14"/>
        <v>241943</v>
      </c>
      <c r="I18" s="120">
        <f t="shared" si="14"/>
        <v>251066</v>
      </c>
      <c r="J18" s="120">
        <f t="shared" si="14"/>
        <v>208619</v>
      </c>
      <c r="K18" s="120">
        <f t="shared" si="14"/>
        <v>3292</v>
      </c>
      <c r="L18" s="120">
        <f t="shared" si="14"/>
        <v>3290</v>
      </c>
      <c r="M18" s="120">
        <f t="shared" si="14"/>
        <v>240995</v>
      </c>
      <c r="N18" s="120">
        <f t="shared" si="14"/>
        <v>282883</v>
      </c>
      <c r="O18" s="120">
        <f t="shared" si="14"/>
        <v>0</v>
      </c>
      <c r="P18" s="120">
        <f t="shared" si="14"/>
        <v>0</v>
      </c>
      <c r="Q18" s="121">
        <f t="shared" si="14"/>
        <v>1876036</v>
      </c>
      <c r="R18" s="66" t="e">
        <f t="shared" si="14"/>
        <v>#VALUE!</v>
      </c>
      <c r="S18" s="66">
        <v>-1273247.95</v>
      </c>
      <c r="T18" s="66">
        <v>4652248</v>
      </c>
      <c r="U18" s="66">
        <v>5450503</v>
      </c>
      <c r="V18" s="66">
        <v>6430020</v>
      </c>
      <c r="W18" s="66">
        <v>5859149</v>
      </c>
      <c r="X18" s="66">
        <v>5996519.5</v>
      </c>
      <c r="Y18" s="66">
        <v>5297837.5</v>
      </c>
      <c r="Z18" s="66">
        <v>80081</v>
      </c>
      <c r="AA18" s="66">
        <v>80930</v>
      </c>
      <c r="AB18" s="107">
        <v>5341878.5</v>
      </c>
      <c r="AC18" s="66">
        <v>6623906.5</v>
      </c>
      <c r="AD18" s="66">
        <v>6695073.5</v>
      </c>
      <c r="AE18" s="107">
        <f>(T18+U18+V18+W18+X18+Y18+Z18+AA18+AB18+AC18+AD18)/11</f>
        <v>4773467.8636363633</v>
      </c>
      <c r="AF18" s="66">
        <f>AF13+AF14+AF15+AF16+AF17</f>
        <v>0</v>
      </c>
      <c r="AG18" s="66">
        <f>SUM(T18:AD18)</f>
        <v>52508146.5</v>
      </c>
      <c r="AH18" s="66">
        <f>AH13+AH14+AH15+AH16+AH17</f>
        <v>0</v>
      </c>
      <c r="AI18" s="66">
        <f>AI13+AI14+AI15+AI16+AI17</f>
        <v>61698105.5</v>
      </c>
      <c r="AJ18" s="106">
        <f>AG18+AH18</f>
        <v>52508146.5</v>
      </c>
      <c r="AK18" s="115"/>
      <c r="AL18" s="122">
        <f>S18</f>
        <v>-1273247.95</v>
      </c>
      <c r="AM18" s="122">
        <v>1273247.95</v>
      </c>
      <c r="AN18" s="122">
        <v>4652248</v>
      </c>
      <c r="AO18" s="66">
        <v>5450503</v>
      </c>
      <c r="AP18" s="66">
        <v>6430020</v>
      </c>
      <c r="AQ18" s="66">
        <v>5859149</v>
      </c>
      <c r="AR18" s="66">
        <v>5996519.5</v>
      </c>
      <c r="AS18" s="66">
        <v>5297837.5</v>
      </c>
      <c r="AT18" s="66">
        <v>80081</v>
      </c>
      <c r="AU18" s="66">
        <v>80930</v>
      </c>
      <c r="AV18" s="66">
        <v>5341878.5</v>
      </c>
      <c r="AW18" s="66">
        <v>6623906.5</v>
      </c>
      <c r="AX18" s="66">
        <v>11468541.359999999</v>
      </c>
      <c r="AY18" s="66">
        <f>AM18+AN18+AO18+AP18+AQ18+AR18+AS18+AT18+AU18+AV18+AW18+AX18</f>
        <v>58554862.310000002</v>
      </c>
      <c r="AZ18" s="66">
        <f>AY18-AJ18</f>
        <v>6046715.8100000024</v>
      </c>
      <c r="BA18" s="66">
        <f>AZ18+AL18</f>
        <v>4773467.8600000022</v>
      </c>
      <c r="BC18" s="124"/>
    </row>
    <row r="19" spans="1:116" s="123" customFormat="1" ht="40.15" customHeight="1" x14ac:dyDescent="0.25">
      <c r="A19" s="117"/>
      <c r="B19" s="118"/>
      <c r="C19" s="114"/>
      <c r="D19" s="119" t="s">
        <v>59</v>
      </c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1"/>
      <c r="R19" s="66"/>
      <c r="S19" s="66"/>
      <c r="T19" s="66">
        <f>T14/T18</f>
        <v>1.2197236690735318</v>
      </c>
      <c r="U19" s="66">
        <f t="shared" ref="U19:AD19" si="15">U14/U18</f>
        <v>0.99875075749889508</v>
      </c>
      <c r="V19" s="66">
        <f t="shared" si="15"/>
        <v>1.2250065318614871</v>
      </c>
      <c r="W19" s="66">
        <f t="shared" si="15"/>
        <v>1.1610979683227036</v>
      </c>
      <c r="X19" s="66">
        <f t="shared" si="15"/>
        <v>1.2055397301718105</v>
      </c>
      <c r="Y19" s="66">
        <f t="shared" si="15"/>
        <v>1.1366724630568605</v>
      </c>
      <c r="Z19" s="66">
        <f t="shared" si="15"/>
        <v>1.3213621208526367</v>
      </c>
      <c r="AA19" s="66">
        <f t="shared" si="15"/>
        <v>1.3264426047201285</v>
      </c>
      <c r="AB19" s="66">
        <f t="shared" si="15"/>
        <v>1.2318239735329062</v>
      </c>
      <c r="AC19" s="66">
        <f t="shared" si="15"/>
        <v>1.1530444308052958</v>
      </c>
      <c r="AD19" s="66">
        <f t="shared" si="15"/>
        <v>1.0583998816443165</v>
      </c>
      <c r="AE19" s="107"/>
      <c r="AF19" s="106"/>
      <c r="AG19" s="106"/>
      <c r="AH19" s="106"/>
      <c r="AI19" s="106"/>
      <c r="AJ19" s="106"/>
      <c r="AK19" s="115"/>
      <c r="AL19" s="122"/>
      <c r="AM19" s="122"/>
      <c r="AN19" s="122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C19" s="124"/>
    </row>
    <row r="20" spans="1:116" ht="25.5" customHeight="1" x14ac:dyDescent="0.25">
      <c r="A20" s="15" t="s">
        <v>38</v>
      </c>
      <c r="B20" s="5" t="s">
        <v>34</v>
      </c>
      <c r="C20" s="16" t="s">
        <v>26</v>
      </c>
      <c r="D20" s="51">
        <v>43</v>
      </c>
      <c r="E20" s="18">
        <v>4509</v>
      </c>
      <c r="F20" s="18">
        <v>4444</v>
      </c>
      <c r="G20" s="18">
        <v>5956</v>
      </c>
      <c r="H20" s="18">
        <v>8696</v>
      </c>
      <c r="I20" s="18">
        <v>14800</v>
      </c>
      <c r="J20" s="18">
        <v>14081</v>
      </c>
      <c r="K20" s="18">
        <v>14321</v>
      </c>
      <c r="L20" s="18">
        <v>14359</v>
      </c>
      <c r="M20" s="18">
        <v>12992</v>
      </c>
      <c r="N20" s="18">
        <v>9179</v>
      </c>
      <c r="O20" s="18"/>
      <c r="P20" s="18"/>
      <c r="Q20" s="18">
        <f>E20+F20+G20+H20+I20+J20+K20+L20+M20+N20+O20+P20</f>
        <v>103337</v>
      </c>
      <c r="R20" s="19">
        <v>57187.000000000371</v>
      </c>
      <c r="S20" s="19"/>
      <c r="T20" s="19">
        <v>238569</v>
      </c>
      <c r="U20" s="19">
        <v>228668</v>
      </c>
      <c r="V20" s="19">
        <v>307777</v>
      </c>
      <c r="W20" s="19">
        <v>420069</v>
      </c>
      <c r="X20" s="19">
        <v>706790</v>
      </c>
      <c r="Y20" s="19">
        <v>679521</v>
      </c>
      <c r="Z20" s="19">
        <v>687994</v>
      </c>
      <c r="AA20" s="19">
        <v>693191</v>
      </c>
      <c r="AB20" s="87">
        <v>628922</v>
      </c>
      <c r="AC20" s="19">
        <v>449550</v>
      </c>
      <c r="AD20" s="113">
        <v>278761</v>
      </c>
      <c r="AE20" s="113">
        <v>261397.8</v>
      </c>
      <c r="AF20" s="20"/>
      <c r="AG20" s="20">
        <f t="shared" si="1"/>
        <v>5319812</v>
      </c>
      <c r="AH20" s="20"/>
      <c r="AI20" s="20"/>
      <c r="AJ20" s="63">
        <f t="shared" si="5"/>
        <v>5319812</v>
      </c>
      <c r="AK20" s="67" t="s">
        <v>26</v>
      </c>
      <c r="AL20" s="77">
        <v>57187.000000000371</v>
      </c>
      <c r="AM20" s="56"/>
      <c r="AN20" s="96">
        <v>181382</v>
      </c>
      <c r="AO20" s="19">
        <v>228668</v>
      </c>
      <c r="AP20" s="19">
        <v>307777</v>
      </c>
      <c r="AQ20" s="19">
        <v>420069</v>
      </c>
      <c r="AR20" s="19">
        <v>706790</v>
      </c>
      <c r="AS20" s="19">
        <v>679521</v>
      </c>
      <c r="AT20" s="19">
        <v>687994</v>
      </c>
      <c r="AU20" s="19">
        <v>693191</v>
      </c>
      <c r="AV20" s="19">
        <v>628922</v>
      </c>
      <c r="AW20" s="19"/>
      <c r="AX20" s="19"/>
      <c r="AY20" s="19">
        <f t="shared" si="2"/>
        <v>4534314</v>
      </c>
      <c r="AZ20" s="75">
        <f>AY20-AJ20</f>
        <v>-785498</v>
      </c>
      <c r="BA20" s="79">
        <f t="shared" si="3"/>
        <v>-728310.99999999965</v>
      </c>
    </row>
    <row r="21" spans="1:116" ht="25.5" customHeight="1" x14ac:dyDescent="0.25">
      <c r="A21" s="15"/>
      <c r="B21" s="5" t="s">
        <v>61</v>
      </c>
      <c r="C21" s="16" t="s">
        <v>26</v>
      </c>
      <c r="D21" s="51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9"/>
      <c r="S21" s="19"/>
      <c r="T21" s="19">
        <v>225533</v>
      </c>
      <c r="U21" s="19">
        <v>251419</v>
      </c>
      <c r="V21" s="19">
        <v>296113</v>
      </c>
      <c r="W21" s="19">
        <v>419071</v>
      </c>
      <c r="X21" s="19">
        <v>655890</v>
      </c>
      <c r="Y21" s="19">
        <v>706713</v>
      </c>
      <c r="Z21" s="19">
        <v>736065</v>
      </c>
      <c r="AA21" s="19">
        <v>732692</v>
      </c>
      <c r="AB21" s="87">
        <v>664690</v>
      </c>
      <c r="AC21" s="19">
        <v>482674</v>
      </c>
      <c r="AD21" s="109">
        <v>263380</v>
      </c>
      <c r="AE21" s="109"/>
      <c r="AF21" s="20"/>
      <c r="AG21" s="20"/>
      <c r="AH21" s="20"/>
      <c r="AI21" s="20"/>
      <c r="AJ21" s="63"/>
      <c r="AK21" s="67"/>
      <c r="AL21" s="77"/>
      <c r="AM21" s="56"/>
      <c r="AN21" s="96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75"/>
      <c r="BA21" s="79"/>
    </row>
    <row r="22" spans="1:116" ht="25.5" customHeight="1" x14ac:dyDescent="0.25">
      <c r="A22" s="15"/>
      <c r="B22" s="5" t="s">
        <v>59</v>
      </c>
      <c r="C22" s="16" t="s">
        <v>26</v>
      </c>
      <c r="D22" s="51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9"/>
      <c r="S22" s="19"/>
      <c r="T22" s="19">
        <f>T20/T21</f>
        <v>1.0578008539770234</v>
      </c>
      <c r="U22" s="19">
        <f t="shared" ref="U22:AD22" si="16">U20/U21</f>
        <v>0.90950962337770813</v>
      </c>
      <c r="V22" s="19">
        <f t="shared" si="16"/>
        <v>1.0393903678663212</v>
      </c>
      <c r="W22" s="19">
        <f t="shared" si="16"/>
        <v>1.0023814580345574</v>
      </c>
      <c r="X22" s="19">
        <f t="shared" si="16"/>
        <v>1.0776044763603654</v>
      </c>
      <c r="Y22" s="19">
        <f t="shared" si="16"/>
        <v>0.96152327748322164</v>
      </c>
      <c r="Z22" s="19">
        <f t="shared" si="16"/>
        <v>0.93469190900260168</v>
      </c>
      <c r="AA22" s="19">
        <f t="shared" si="16"/>
        <v>0.94608785137547569</v>
      </c>
      <c r="AB22" s="19">
        <f t="shared" si="16"/>
        <v>0.94618844875054542</v>
      </c>
      <c r="AC22" s="19">
        <f t="shared" si="16"/>
        <v>0.93137397083745965</v>
      </c>
      <c r="AD22" s="19">
        <f t="shared" si="16"/>
        <v>1.0583985116561623</v>
      </c>
      <c r="AE22" s="109"/>
      <c r="AF22" s="20"/>
      <c r="AG22" s="20"/>
      <c r="AH22" s="20"/>
      <c r="AI22" s="20"/>
      <c r="AJ22" s="63"/>
      <c r="AK22" s="67"/>
      <c r="AL22" s="77"/>
      <c r="AM22" s="56"/>
      <c r="AN22" s="96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75"/>
      <c r="BA22" s="79"/>
    </row>
    <row r="23" spans="1:116" ht="30" customHeight="1" x14ac:dyDescent="0.25">
      <c r="A23" s="15" t="s">
        <v>38</v>
      </c>
      <c r="B23" s="5" t="s">
        <v>35</v>
      </c>
      <c r="C23" s="16" t="s">
        <v>27</v>
      </c>
      <c r="D23" s="51">
        <v>46</v>
      </c>
      <c r="E23" s="18">
        <v>836</v>
      </c>
      <c r="F23" s="18">
        <v>658</v>
      </c>
      <c r="G23" s="18">
        <v>856</v>
      </c>
      <c r="H23" s="18">
        <v>1191</v>
      </c>
      <c r="I23" s="18">
        <v>1985</v>
      </c>
      <c r="J23" s="18">
        <v>2062</v>
      </c>
      <c r="K23" s="18">
        <v>2104</v>
      </c>
      <c r="L23" s="18">
        <v>1901</v>
      </c>
      <c r="M23" s="18">
        <v>1783</v>
      </c>
      <c r="N23" s="18">
        <v>1218</v>
      </c>
      <c r="O23" s="18"/>
      <c r="P23" s="18"/>
      <c r="Q23" s="18">
        <f>E23+F23+G23+H23+I23+J23+K23+L23+M23+N23+O23+P23</f>
        <v>14594</v>
      </c>
      <c r="R23" s="19">
        <v>-2962.9999999999072</v>
      </c>
      <c r="S23" s="19">
        <v>2963</v>
      </c>
      <c r="T23" s="19">
        <v>41887</v>
      </c>
      <c r="U23" s="19">
        <v>31393</v>
      </c>
      <c r="V23" s="19">
        <v>45351</v>
      </c>
      <c r="W23" s="19">
        <v>60352</v>
      </c>
      <c r="X23" s="19">
        <v>101033</v>
      </c>
      <c r="Y23" s="19">
        <v>105046</v>
      </c>
      <c r="Z23" s="19">
        <v>105949</v>
      </c>
      <c r="AA23" s="19">
        <v>96924</v>
      </c>
      <c r="AB23" s="87">
        <v>92782</v>
      </c>
      <c r="AC23" s="19">
        <v>62807</v>
      </c>
      <c r="AD23" s="113">
        <v>56109</v>
      </c>
      <c r="AE23" s="113">
        <v>54291.6</v>
      </c>
      <c r="AF23" s="20"/>
      <c r="AG23" s="20">
        <f t="shared" si="1"/>
        <v>799633</v>
      </c>
      <c r="AH23" s="20"/>
      <c r="AI23" s="20"/>
      <c r="AJ23" s="63">
        <f t="shared" si="5"/>
        <v>799633</v>
      </c>
      <c r="AK23" s="67" t="s">
        <v>27</v>
      </c>
      <c r="AL23" s="77">
        <v>-2962.9999999999072</v>
      </c>
      <c r="AM23" s="56">
        <v>2963</v>
      </c>
      <c r="AN23" s="96">
        <v>41887</v>
      </c>
      <c r="AO23" s="19">
        <v>31393</v>
      </c>
      <c r="AP23" s="19">
        <v>45351</v>
      </c>
      <c r="AQ23" s="19">
        <v>60352</v>
      </c>
      <c r="AR23" s="19">
        <v>101033</v>
      </c>
      <c r="AS23" s="19">
        <v>105046</v>
      </c>
      <c r="AT23" s="19">
        <v>105949</v>
      </c>
      <c r="AU23" s="19">
        <v>96924</v>
      </c>
      <c r="AV23" s="19">
        <v>92782</v>
      </c>
      <c r="AW23" s="19"/>
      <c r="AX23" s="19"/>
      <c r="AY23" s="19">
        <f t="shared" si="2"/>
        <v>683680</v>
      </c>
      <c r="AZ23" s="75">
        <f>AY23-AJ23</f>
        <v>-115953</v>
      </c>
      <c r="BA23" s="62">
        <f t="shared" si="3"/>
        <v>-118915.99999999991</v>
      </c>
      <c r="BB23" s="92"/>
      <c r="BC23" s="93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92"/>
      <c r="CY23" s="92"/>
      <c r="CZ23" s="92"/>
      <c r="DA23" s="92"/>
      <c r="DB23" s="92"/>
      <c r="DC23" s="92"/>
      <c r="DD23" s="92"/>
      <c r="DE23" s="92"/>
      <c r="DF23" s="92"/>
      <c r="DG23" s="92"/>
      <c r="DH23" s="92"/>
      <c r="DI23" s="92"/>
      <c r="DJ23" s="92"/>
      <c r="DK23" s="92"/>
      <c r="DL23" s="92"/>
    </row>
    <row r="24" spans="1:116" ht="30" customHeight="1" x14ac:dyDescent="0.25">
      <c r="A24" s="15"/>
      <c r="B24" s="5" t="s">
        <v>61</v>
      </c>
      <c r="C24" s="16" t="s">
        <v>27</v>
      </c>
      <c r="D24" s="51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9"/>
      <c r="S24" s="19"/>
      <c r="T24" s="19">
        <v>39692</v>
      </c>
      <c r="U24" s="19">
        <v>45599</v>
      </c>
      <c r="V24" s="19">
        <v>57783</v>
      </c>
      <c r="W24" s="19">
        <v>92657</v>
      </c>
      <c r="X24" s="19">
        <v>146100</v>
      </c>
      <c r="Y24" s="19">
        <v>172557</v>
      </c>
      <c r="Z24" s="19">
        <v>170582</v>
      </c>
      <c r="AA24" s="19">
        <v>166607</v>
      </c>
      <c r="AB24" s="87">
        <v>158772</v>
      </c>
      <c r="AC24" s="19">
        <v>104917</v>
      </c>
      <c r="AD24" s="109">
        <v>53013</v>
      </c>
      <c r="AE24" s="109"/>
      <c r="AF24" s="20"/>
      <c r="AG24" s="20"/>
      <c r="AH24" s="20"/>
      <c r="AI24" s="20"/>
      <c r="AJ24" s="63"/>
      <c r="AK24" s="67"/>
      <c r="AL24" s="77"/>
      <c r="AM24" s="56"/>
      <c r="AN24" s="96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75"/>
      <c r="BA24" s="62"/>
      <c r="BB24" s="92"/>
      <c r="BC24" s="93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2"/>
      <c r="CS24" s="92"/>
      <c r="CT24" s="92"/>
      <c r="CU24" s="92"/>
      <c r="CV24" s="92"/>
      <c r="CW24" s="92"/>
      <c r="CX24" s="92"/>
      <c r="CY24" s="92"/>
      <c r="CZ24" s="92"/>
      <c r="DA24" s="92"/>
      <c r="DB24" s="92"/>
      <c r="DC24" s="92"/>
      <c r="DD24" s="92"/>
      <c r="DE24" s="92"/>
      <c r="DF24" s="92"/>
      <c r="DG24" s="92"/>
      <c r="DH24" s="92"/>
      <c r="DI24" s="92"/>
      <c r="DJ24" s="92"/>
      <c r="DK24" s="92"/>
      <c r="DL24" s="92"/>
    </row>
    <row r="25" spans="1:116" ht="30" customHeight="1" x14ac:dyDescent="0.25">
      <c r="A25" s="15"/>
      <c r="B25" s="5" t="s">
        <v>59</v>
      </c>
      <c r="C25" s="16" t="s">
        <v>27</v>
      </c>
      <c r="D25" s="51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9"/>
      <c r="S25" s="19"/>
      <c r="T25" s="19">
        <f>T23/T24</f>
        <v>1.0553008162853976</v>
      </c>
      <c r="U25" s="19">
        <f t="shared" ref="U25:AD25" si="17">U23/U24</f>
        <v>0.68845808022105748</v>
      </c>
      <c r="V25" s="19">
        <f t="shared" si="17"/>
        <v>0.78485021546129485</v>
      </c>
      <c r="W25" s="19">
        <f t="shared" si="17"/>
        <v>0.65134852196811899</v>
      </c>
      <c r="X25" s="19">
        <f t="shared" si="17"/>
        <v>0.69153319644079403</v>
      </c>
      <c r="Y25" s="19">
        <f t="shared" si="17"/>
        <v>0.6087611629780304</v>
      </c>
      <c r="Z25" s="19">
        <f t="shared" si="17"/>
        <v>0.62110304721482923</v>
      </c>
      <c r="AA25" s="19">
        <f t="shared" si="17"/>
        <v>0.5817522673116976</v>
      </c>
      <c r="AB25" s="19">
        <f t="shared" si="17"/>
        <v>0.58437255939334387</v>
      </c>
      <c r="AC25" s="19">
        <f t="shared" si="17"/>
        <v>0.59863511156437943</v>
      </c>
      <c r="AD25" s="19">
        <f t="shared" si="17"/>
        <v>1.0584007696225455</v>
      </c>
      <c r="AE25" s="109"/>
      <c r="AF25" s="20"/>
      <c r="AG25" s="20"/>
      <c r="AH25" s="20"/>
      <c r="AI25" s="20"/>
      <c r="AJ25" s="63"/>
      <c r="AK25" s="67"/>
      <c r="AL25" s="77"/>
      <c r="AM25" s="56"/>
      <c r="AN25" s="96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75"/>
      <c r="BA25" s="62"/>
      <c r="BB25" s="92"/>
      <c r="BC25" s="93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2"/>
      <c r="CS25" s="92"/>
      <c r="CT25" s="92"/>
      <c r="CU25" s="92"/>
      <c r="CV25" s="92"/>
      <c r="CW25" s="92"/>
      <c r="CX25" s="92"/>
      <c r="CY25" s="92"/>
      <c r="CZ25" s="92"/>
      <c r="DA25" s="92"/>
      <c r="DB25" s="92"/>
      <c r="DC25" s="92"/>
      <c r="DD25" s="92"/>
      <c r="DE25" s="92"/>
      <c r="DF25" s="92"/>
      <c r="DG25" s="92"/>
      <c r="DH25" s="92"/>
      <c r="DI25" s="92"/>
      <c r="DJ25" s="92"/>
      <c r="DK25" s="92"/>
      <c r="DL25" s="92"/>
    </row>
    <row r="26" spans="1:116" s="24" customFormat="1" x14ac:dyDescent="0.25">
      <c r="A26" s="21"/>
      <c r="B26" s="21"/>
      <c r="C26" s="21"/>
      <c r="D26" s="17" t="s">
        <v>16</v>
      </c>
      <c r="E26" s="22">
        <f t="shared" ref="E26:Q26" si="18">E3+E4+E8+E14+E20+E23</f>
        <v>192674</v>
      </c>
      <c r="F26" s="22">
        <f t="shared" si="18"/>
        <v>195375</v>
      </c>
      <c r="G26" s="22">
        <f t="shared" si="18"/>
        <v>269162</v>
      </c>
      <c r="H26" s="22">
        <f t="shared" si="18"/>
        <v>301734</v>
      </c>
      <c r="I26" s="22">
        <f t="shared" si="18"/>
        <v>515899</v>
      </c>
      <c r="J26" s="22">
        <f t="shared" si="18"/>
        <v>471446</v>
      </c>
      <c r="K26" s="22">
        <f t="shared" si="18"/>
        <v>268040</v>
      </c>
      <c r="L26" s="22">
        <f t="shared" si="18"/>
        <v>265416</v>
      </c>
      <c r="M26" s="22">
        <f t="shared" si="18"/>
        <v>474674</v>
      </c>
      <c r="N26" s="22">
        <f t="shared" si="18"/>
        <v>406475</v>
      </c>
      <c r="O26" s="22">
        <f t="shared" si="18"/>
        <v>0</v>
      </c>
      <c r="P26" s="22">
        <f t="shared" si="18"/>
        <v>0</v>
      </c>
      <c r="Q26" s="18">
        <f t="shared" si="18"/>
        <v>3360895</v>
      </c>
      <c r="R26" s="23">
        <v>110380.81000000284</v>
      </c>
      <c r="S26" s="23">
        <f t="shared" ref="S26:AE26" si="19">S3+S4+S8+S14+S20+S23</f>
        <v>1220347.1399999999</v>
      </c>
      <c r="T26" s="23">
        <f t="shared" si="19"/>
        <v>5956831.5</v>
      </c>
      <c r="U26" s="23">
        <f t="shared" si="19"/>
        <v>5705707.5</v>
      </c>
      <c r="V26" s="23">
        <f t="shared" si="19"/>
        <v>8232109</v>
      </c>
      <c r="W26" s="23">
        <f t="shared" si="19"/>
        <v>8475356.5</v>
      </c>
      <c r="X26" s="23">
        <f t="shared" si="19"/>
        <v>13812663</v>
      </c>
      <c r="Y26" s="23">
        <f t="shared" si="19"/>
        <v>12554044</v>
      </c>
      <c r="Z26" s="23">
        <f t="shared" si="19"/>
        <v>6686393.5</v>
      </c>
      <c r="AA26" s="23">
        <f t="shared" si="19"/>
        <v>6655811</v>
      </c>
      <c r="AB26" s="96">
        <f t="shared" si="19"/>
        <v>12414675.5</v>
      </c>
      <c r="AC26" s="23">
        <f t="shared" si="19"/>
        <v>10802318</v>
      </c>
      <c r="AD26" s="113">
        <f t="shared" si="19"/>
        <v>7423457</v>
      </c>
      <c r="AE26" s="113">
        <f t="shared" si="19"/>
        <v>5824054.3999999994</v>
      </c>
      <c r="AF26" s="23">
        <f>AF4+AF14+AF20+AF23</f>
        <v>0</v>
      </c>
      <c r="AG26" s="30">
        <f>AG4+AG14+AG20+AG23</f>
        <v>66756901.5</v>
      </c>
      <c r="AH26" s="23">
        <f>AH4+AH14+AH20+AH23</f>
        <v>0</v>
      </c>
      <c r="AI26" s="30">
        <f>AI3+AI4+AI8+AI9+AI10+AI11+AI12+AI13+AI20+AI23</f>
        <v>92599921.5</v>
      </c>
      <c r="AJ26" s="72">
        <f>AJ3+AJ4+AJ8+AJ14+AJ20+AJ23</f>
        <v>98719366.5</v>
      </c>
      <c r="AK26" s="21"/>
      <c r="AL26" s="78">
        <v>-1162867.1399999971</v>
      </c>
      <c r="AM26" s="23">
        <f>AM4+AM14+AM20+AM23</f>
        <v>1220347.1399999999</v>
      </c>
      <c r="AN26" s="23">
        <f>AN4+AN14+AN20+AN23</f>
        <v>5899351.5</v>
      </c>
      <c r="AO26" s="23">
        <f t="shared" ref="AO26:AZ26" si="20">AO3+AO4+AO8+AO14+AO20+AO23</f>
        <v>5705707.5</v>
      </c>
      <c r="AP26" s="23">
        <f t="shared" si="20"/>
        <v>8232109</v>
      </c>
      <c r="AQ26" s="23">
        <f t="shared" si="20"/>
        <v>8475356.5</v>
      </c>
      <c r="AR26" s="23">
        <f t="shared" si="20"/>
        <v>13812663</v>
      </c>
      <c r="AS26" s="23">
        <f t="shared" si="20"/>
        <v>12554044</v>
      </c>
      <c r="AT26" s="23">
        <f t="shared" si="20"/>
        <v>6686393.5</v>
      </c>
      <c r="AU26" s="23">
        <f t="shared" si="20"/>
        <v>6655811</v>
      </c>
      <c r="AV26" s="23">
        <f t="shared" si="20"/>
        <v>12414675.5</v>
      </c>
      <c r="AW26" s="23">
        <f t="shared" si="20"/>
        <v>0</v>
      </c>
      <c r="AX26" s="23">
        <f t="shared" si="20"/>
        <v>0</v>
      </c>
      <c r="AY26" s="23">
        <f t="shared" si="20"/>
        <v>81656458.640000001</v>
      </c>
      <c r="AZ26" s="23">
        <f t="shared" si="20"/>
        <v>-17062907.859999999</v>
      </c>
      <c r="BA26" s="62">
        <f t="shared" si="3"/>
        <v>-18225774.999999996</v>
      </c>
      <c r="BB26" s="94"/>
      <c r="BC26" s="95"/>
      <c r="BD26" s="94"/>
      <c r="BE26" s="94"/>
      <c r="BF26" s="94"/>
      <c r="BG26" s="94"/>
      <c r="BH26" s="94"/>
      <c r="BI26" s="94"/>
      <c r="BJ26" s="94"/>
      <c r="BK26" s="94"/>
      <c r="BL26" s="94"/>
      <c r="BM26" s="94"/>
      <c r="BN26" s="94"/>
      <c r="BO26" s="94"/>
      <c r="BP26" s="94"/>
      <c r="BQ26" s="94"/>
      <c r="BR26" s="94"/>
      <c r="BS26" s="94"/>
      <c r="BT26" s="94"/>
      <c r="BU26" s="94"/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94"/>
      <c r="CG26" s="94"/>
      <c r="CH26" s="94"/>
      <c r="CI26" s="94"/>
      <c r="CJ26" s="94"/>
      <c r="CK26" s="94"/>
      <c r="CL26" s="94"/>
      <c r="CM26" s="94"/>
      <c r="CN26" s="94"/>
      <c r="CO26" s="94"/>
      <c r="CP26" s="94"/>
      <c r="CQ26" s="94"/>
      <c r="CR26" s="94"/>
      <c r="CS26" s="94"/>
      <c r="CT26" s="94"/>
      <c r="CU26" s="94"/>
      <c r="CV26" s="94"/>
      <c r="CW26" s="94"/>
      <c r="CX26" s="94"/>
      <c r="CY26" s="94"/>
      <c r="CZ26" s="94"/>
      <c r="DA26" s="94"/>
      <c r="DB26" s="94"/>
      <c r="DC26" s="94"/>
      <c r="DD26" s="94"/>
      <c r="DE26" s="94"/>
      <c r="DF26" s="94"/>
      <c r="DG26" s="94"/>
      <c r="DH26" s="94"/>
      <c r="DI26" s="94"/>
      <c r="DJ26" s="94"/>
      <c r="DK26" s="94"/>
      <c r="DL26" s="94"/>
    </row>
    <row r="27" spans="1:116" x14ac:dyDescent="0.25"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19"/>
      <c r="S27" s="54"/>
      <c r="T27" s="26"/>
      <c r="U27" s="26"/>
      <c r="V27" s="26"/>
      <c r="W27" s="26"/>
      <c r="X27" s="26"/>
      <c r="Y27" s="26"/>
      <c r="Z27" s="26"/>
      <c r="AA27" s="26"/>
      <c r="AB27" s="84"/>
      <c r="AC27" s="26"/>
      <c r="AD27" s="26"/>
      <c r="AE27" s="26"/>
      <c r="AF27" s="26"/>
      <c r="AG27" s="26"/>
      <c r="AH27" s="26"/>
      <c r="AI27" s="20"/>
      <c r="AJ27" s="73"/>
      <c r="AK27" s="24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19"/>
      <c r="BA27" s="19"/>
      <c r="BB27" s="92"/>
      <c r="BC27" s="93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2"/>
      <c r="CS27" s="92"/>
      <c r="CT27" s="92"/>
      <c r="CU27" s="92"/>
      <c r="CV27" s="92"/>
      <c r="CW27" s="92"/>
      <c r="CX27" s="92"/>
      <c r="CY27" s="92"/>
      <c r="CZ27" s="92"/>
      <c r="DA27" s="92"/>
      <c r="DB27" s="92"/>
      <c r="DC27" s="92"/>
      <c r="DD27" s="92"/>
      <c r="DE27" s="92"/>
      <c r="DF27" s="92"/>
      <c r="DG27" s="92"/>
      <c r="DH27" s="92"/>
      <c r="DI27" s="92"/>
      <c r="DJ27" s="92"/>
      <c r="DK27" s="92"/>
      <c r="DL27" s="92"/>
    </row>
    <row r="28" spans="1:116" s="7" customFormat="1" ht="34.5" customHeight="1" x14ac:dyDescent="0.25">
      <c r="A28" s="17" t="s">
        <v>18</v>
      </c>
      <c r="C28" s="17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75"/>
      <c r="AC28" s="19"/>
      <c r="AD28" s="19"/>
      <c r="AE28" s="19"/>
      <c r="AF28" s="19"/>
      <c r="AG28" s="19"/>
      <c r="AH28" s="20"/>
      <c r="AI28" s="20"/>
      <c r="AJ28" s="63"/>
      <c r="AK28" s="17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92"/>
      <c r="BC28" s="93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2"/>
      <c r="CS28" s="92"/>
      <c r="CT28" s="92"/>
      <c r="CU28" s="92"/>
      <c r="CV28" s="92"/>
      <c r="CW28" s="92"/>
      <c r="CX28" s="92"/>
      <c r="CY28" s="92"/>
      <c r="CZ28" s="92"/>
      <c r="DA28" s="92"/>
      <c r="DB28" s="92"/>
      <c r="DC28" s="92"/>
      <c r="DD28" s="92"/>
      <c r="DE28" s="92"/>
      <c r="DF28" s="92"/>
      <c r="DG28" s="92"/>
      <c r="DH28" s="92"/>
      <c r="DI28" s="92"/>
      <c r="DJ28" s="92"/>
      <c r="DK28" s="92"/>
      <c r="DL28" s="92"/>
    </row>
    <row r="29" spans="1:116" x14ac:dyDescent="0.25">
      <c r="T29" s="28"/>
      <c r="U29" s="28"/>
      <c r="V29" s="28"/>
      <c r="W29" s="28"/>
      <c r="X29" s="28"/>
      <c r="Y29" s="28"/>
      <c r="Z29" s="28"/>
      <c r="AA29" s="28"/>
      <c r="AB29" s="45"/>
      <c r="AC29" s="28"/>
      <c r="AD29" s="28"/>
      <c r="AE29" s="28"/>
      <c r="AF29" s="28"/>
      <c r="AG29" s="28"/>
      <c r="AH29" s="28"/>
      <c r="AI29" s="28"/>
      <c r="AJ29" s="74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</row>
    <row r="30" spans="1:116" x14ac:dyDescent="0.25">
      <c r="K30" s="52"/>
      <c r="AL30" s="28"/>
      <c r="AM30" s="28"/>
      <c r="AQ30" s="28">
        <f>AQ26-11533244</f>
        <v>-3057887.5</v>
      </c>
    </row>
    <row r="32" spans="1:116" x14ac:dyDescent="0.25">
      <c r="T32" s="28"/>
    </row>
  </sheetData>
  <mergeCells count="8">
    <mergeCell ref="AZ1:AZ2"/>
    <mergeCell ref="BA1:BA2"/>
    <mergeCell ref="BC1:BC2"/>
    <mergeCell ref="C10:C16"/>
    <mergeCell ref="AK10:AK16"/>
    <mergeCell ref="E1:Q1"/>
    <mergeCell ref="T1:AI1"/>
    <mergeCell ref="AN1:AY1"/>
  </mergeCells>
  <pageMargins left="0.11811023622047245" right="0.31496062992125984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2019 по данным Эк пр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Рядкова Яна Викторовна</cp:lastModifiedBy>
  <cp:lastPrinted>2023-05-18T09:15:37Z</cp:lastPrinted>
  <dcterms:created xsi:type="dcterms:W3CDTF">1996-10-08T23:32:33Z</dcterms:created>
  <dcterms:modified xsi:type="dcterms:W3CDTF">2023-05-19T09:11:53Z</dcterms:modified>
</cp:coreProperties>
</file>